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15" windowWidth="23250" windowHeight="11520" tabRatio="896" activeTab="3"/>
  </bookViews>
  <sheets>
    <sheet name="표지" sheetId="1" r:id="rId1"/>
    <sheet name="총괄(2019년세입세출결산)" sheetId="2" r:id="rId2"/>
    <sheet name="2019년세입결산" sheetId="3" r:id="rId3"/>
    <sheet name="2019년세출결산" sheetId="4" r:id="rId4"/>
  </sheets>
  <definedNames>
    <definedName name="_xlnm.Print_Titles" localSheetId="2">'2019년세입결산'!$3:$4</definedName>
    <definedName name="_xlnm.Print_Titles" localSheetId="3">'2019년세출결산'!$3:$6</definedName>
  </definedNames>
  <calcPr fullCalcOnLoad="1"/>
</workbook>
</file>

<file path=xl/sharedStrings.xml><?xml version="1.0" encoding="utf-8"?>
<sst xmlns="http://schemas.openxmlformats.org/spreadsheetml/2006/main" count="225" uniqueCount="193">
  <si>
    <t>인건비</t>
  </si>
  <si>
    <t>잡지출</t>
  </si>
  <si>
    <t>예비비</t>
  </si>
  <si>
    <t>예산대비</t>
  </si>
  <si>
    <t>후원금
수  입</t>
  </si>
  <si>
    <t>이월금</t>
  </si>
  <si>
    <t>전년도
이월금</t>
  </si>
  <si>
    <t>후원금 합계</t>
  </si>
  <si>
    <t>(단위:  원)</t>
  </si>
  <si>
    <t>과목</t>
  </si>
  <si>
    <t>산출근거</t>
  </si>
  <si>
    <t>관</t>
  </si>
  <si>
    <t>항</t>
  </si>
  <si>
    <t>목</t>
  </si>
  <si>
    <t>소  계</t>
  </si>
  <si>
    <t>사업비</t>
  </si>
  <si>
    <t>잡수입</t>
  </si>
  <si>
    <t>기타예금
이자수입</t>
  </si>
  <si>
    <t>합  계</t>
  </si>
  <si>
    <t>..</t>
  </si>
  <si>
    <t>예산액</t>
  </si>
  <si>
    <t>사무비</t>
  </si>
  <si>
    <t>급여</t>
  </si>
  <si>
    <t>업무
추진비</t>
  </si>
  <si>
    <t>기관
운영비</t>
  </si>
  <si>
    <t>회의비</t>
  </si>
  <si>
    <t>운영비</t>
  </si>
  <si>
    <t>여비</t>
  </si>
  <si>
    <t>수용비및
수수료</t>
  </si>
  <si>
    <t>차량비</t>
  </si>
  <si>
    <t>재산</t>
  </si>
  <si>
    <t>시설비</t>
  </si>
  <si>
    <t>자산
취득비</t>
  </si>
  <si>
    <t>밑반찬
서비스</t>
  </si>
  <si>
    <t>명절떡
나누기</t>
  </si>
  <si>
    <t>김장김치
나누기</t>
  </si>
  <si>
    <t>기타사업비</t>
  </si>
  <si>
    <t>홍보비</t>
  </si>
  <si>
    <t>(단위: 원)</t>
  </si>
  <si>
    <t>기   타
잡수입</t>
  </si>
  <si>
    <t>1. 총괄표</t>
  </si>
  <si>
    <t>본인부담금합계</t>
  </si>
  <si>
    <t>장기요양사업 합계</t>
  </si>
  <si>
    <t>일용잡급</t>
  </si>
  <si>
    <t>퇴직
적립금</t>
  </si>
  <si>
    <t>비지정
후원금</t>
  </si>
  <si>
    <t>구      분</t>
  </si>
  <si>
    <t>증△감</t>
  </si>
  <si>
    <t>세입</t>
  </si>
  <si>
    <t>계</t>
  </si>
  <si>
    <t>잡   수   입</t>
  </si>
  <si>
    <t>세출</t>
  </si>
  <si>
    <t>인   건   비</t>
  </si>
  <si>
    <t>업무추진비</t>
  </si>
  <si>
    <t>사무운영비</t>
  </si>
  <si>
    <t>시   설   비</t>
  </si>
  <si>
    <t>사   업   비</t>
  </si>
  <si>
    <t>잡   지   출</t>
  </si>
  <si>
    <t>예   비   비</t>
  </si>
  <si>
    <t>후원금
수입</t>
  </si>
  <si>
    <r>
      <t>자원봉사자</t>
    </r>
    <r>
      <rPr>
        <sz val="8"/>
        <rFont val="돋움"/>
        <family val="3"/>
      </rPr>
      <t>ㆍ</t>
    </r>
    <r>
      <rPr>
        <sz val="8"/>
        <rFont val="굴림"/>
        <family val="3"/>
      </rPr>
      <t>후원자
만남의날</t>
    </r>
  </si>
  <si>
    <t>이월금 합계</t>
  </si>
  <si>
    <t>직원교육
및간담회</t>
  </si>
  <si>
    <t>지정
후원금</t>
  </si>
  <si>
    <t>정기예탁금 만기이자</t>
  </si>
  <si>
    <t>잡수입 합계</t>
  </si>
  <si>
    <t>합       계</t>
  </si>
  <si>
    <t>크리스마스
선물나누기</t>
  </si>
  <si>
    <t>후원금
이월금</t>
  </si>
  <si>
    <t>기타
보조금</t>
  </si>
  <si>
    <t>보조금수입합계</t>
  </si>
  <si>
    <t>2. 세 입</t>
  </si>
  <si>
    <t>보조금수입</t>
  </si>
  <si>
    <t>계</t>
  </si>
  <si>
    <t>장기요양
사업수입</t>
  </si>
  <si>
    <t>이   월   금</t>
  </si>
  <si>
    <t>후원금수입</t>
  </si>
  <si>
    <t>조성비</t>
  </si>
  <si>
    <t>3. 세 출</t>
  </si>
  <si>
    <t>성 안 노 인 복 지 센 터</t>
  </si>
  <si>
    <t>기타
운영비</t>
  </si>
  <si>
    <t>직책
보조비</t>
  </si>
  <si>
    <t>전입금</t>
  </si>
  <si>
    <t>전입금</t>
  </si>
  <si>
    <t>법인전입금 합계</t>
  </si>
  <si>
    <t>독거 어르신 지원</t>
  </si>
  <si>
    <t xml:space="preserve"> </t>
  </si>
  <si>
    <t>수입</t>
  </si>
  <si>
    <t>지출</t>
  </si>
  <si>
    <t>보조금잔액</t>
  </si>
  <si>
    <t>순이익</t>
  </si>
  <si>
    <t xml:space="preserve"> </t>
  </si>
  <si>
    <t>`</t>
  </si>
  <si>
    <t>본인부담금
비용수입</t>
  </si>
  <si>
    <t>법인전입금</t>
  </si>
  <si>
    <t>야외나들이</t>
  </si>
  <si>
    <t>전출금</t>
  </si>
  <si>
    <t>법인회계
전출금</t>
  </si>
  <si>
    <t>운영충당
적립금</t>
  </si>
  <si>
    <t>전   출    금</t>
  </si>
  <si>
    <t>전   입   금</t>
  </si>
  <si>
    <r>
      <rPr>
        <b/>
        <sz val="9"/>
        <color indexed="8"/>
        <rFont val="굴림"/>
        <family val="3"/>
      </rPr>
      <t>▪ 상근요양보호사</t>
    </r>
    <r>
      <rPr>
        <sz val="9"/>
        <color indexed="8"/>
        <rFont val="굴림"/>
        <family val="3"/>
      </rPr>
      <t xml:space="preserve">                 
 2명x1,710,000원x 12개월 
  = </t>
    </r>
    <r>
      <rPr>
        <b/>
        <sz val="9"/>
        <color indexed="8"/>
        <rFont val="굴림"/>
        <family val="3"/>
      </rPr>
      <t>41,040,000원</t>
    </r>
  </si>
  <si>
    <t>각종수당</t>
  </si>
  <si>
    <t xml:space="preserve">
사회보험
부담금</t>
  </si>
  <si>
    <t>공공요금 및 각종
세금공과금</t>
  </si>
  <si>
    <t>시설환경
개선준비금</t>
  </si>
  <si>
    <t>적립금
및
준비금</t>
  </si>
  <si>
    <t>운영충당적립금 및 환경개선 준비금</t>
  </si>
  <si>
    <t xml:space="preserve"> 합계</t>
  </si>
  <si>
    <t>보조금
수입</t>
  </si>
  <si>
    <t>과 목</t>
  </si>
  <si>
    <t xml:space="preserve"> ▪ 시설환경개선준비금 
                           3,000,000원</t>
  </si>
  <si>
    <t>시·군·구
 보조금</t>
  </si>
  <si>
    <t>이용자
부담금수입</t>
  </si>
  <si>
    <t>적립금및준비금</t>
  </si>
  <si>
    <t>이용비용수입</t>
  </si>
  <si>
    <t>이용자부담금수입</t>
  </si>
  <si>
    <t xml:space="preserve"> ▪ 운영충당적립금 
                         73,000,000원</t>
  </si>
  <si>
    <r>
      <rPr>
        <b/>
        <sz val="9"/>
        <color indexed="8"/>
        <rFont val="굴림"/>
        <family val="3"/>
      </rPr>
      <t>▪ 사무원</t>
    </r>
    <r>
      <rPr>
        <sz val="9"/>
        <color indexed="8"/>
        <rFont val="굴림"/>
        <family val="3"/>
      </rPr>
      <t xml:space="preserve">
 (8호봉)
 1,969,000원x 12개월 =</t>
    </r>
    <r>
      <rPr>
        <b/>
        <sz val="9"/>
        <color indexed="8"/>
        <rFont val="굴림"/>
        <family val="3"/>
      </rPr>
      <t>23,628,000원</t>
    </r>
  </si>
  <si>
    <t>가산금수입</t>
  </si>
  <si>
    <t>요양
급여수입</t>
  </si>
  <si>
    <t>요양
급여
수입</t>
  </si>
  <si>
    <r>
      <t xml:space="preserve"> (13호봉) 
 2,940,000원x5개월 = </t>
    </r>
    <r>
      <rPr>
        <b/>
        <sz val="9"/>
        <color indexed="8"/>
        <rFont val="굴림"/>
        <family val="3"/>
      </rPr>
      <t>14,700,000원</t>
    </r>
  </si>
  <si>
    <r>
      <rPr>
        <b/>
        <sz val="9"/>
        <color indexed="8"/>
        <rFont val="굴림"/>
        <family val="3"/>
      </rPr>
      <t>▪ 사무국장</t>
    </r>
    <r>
      <rPr>
        <sz val="9"/>
        <color indexed="8"/>
        <rFont val="굴림"/>
        <family val="3"/>
      </rPr>
      <t xml:space="preserve">                </t>
    </r>
    <r>
      <rPr>
        <b/>
        <sz val="9"/>
        <color indexed="8"/>
        <rFont val="굴림"/>
        <family val="3"/>
      </rPr>
      <t xml:space="preserve"> 31,902,000원</t>
    </r>
    <r>
      <rPr>
        <sz val="9"/>
        <color indexed="8"/>
        <rFont val="굴림"/>
        <family val="3"/>
      </rPr>
      <t xml:space="preserve">           
 (12호봉) 
 2,867,000x6개월 = </t>
    </r>
    <r>
      <rPr>
        <b/>
        <sz val="9"/>
        <color indexed="8"/>
        <rFont val="굴림"/>
        <family val="3"/>
      </rPr>
      <t>17,202,000원</t>
    </r>
  </si>
  <si>
    <t xml:space="preserve">▪ 크리스마스 선물        
이불세트 95,000원x27명 = 2,565,000원
내복 19,000원x96명=1,824,000원    </t>
  </si>
  <si>
    <t xml:space="preserve">▪ 김장김치 나누기                         </t>
  </si>
  <si>
    <t>▪ 장기요양대상자 방문           79,620원
 ▪ 독거어르신지원                763,510원</t>
  </si>
  <si>
    <t xml:space="preserve"> ▪ 직원회의 식대 및 간식    1,796,200원
 256,600원x7개월=1,796,200원</t>
  </si>
  <si>
    <t>법인회계전출금            60,000,000원</t>
  </si>
  <si>
    <t>▪ 기관홍보, 현수막 제작</t>
  </si>
  <si>
    <t>▪ 직원처우개선비: 19,150,000원
 ▪ 특정차량구매비용: 39,411,680원</t>
  </si>
  <si>
    <t>▪ 보조금이자반납                    1,846원
▪ 사고위로금                    1,000,000원
▪ 퇴직직원 위로금              1,000,000원</t>
  </si>
  <si>
    <t xml:space="preserve"> ▪ 퇴직직원선물                 350,000원
   상품권 300,000원
   감사패 50,000원
  ▪ 인센티브                       1,500,000원</t>
  </si>
  <si>
    <t xml:space="preserve">  상근요양보호사(방문요양)
  500,000원x 2회x2명=2,000,000원
  상근요양보호사(방문목욕) 
  500,000원x2회x2명=2,000,000원
</t>
  </si>
  <si>
    <r>
      <rPr>
        <b/>
        <sz val="9"/>
        <color indexed="8"/>
        <rFont val="굴림"/>
        <family val="3"/>
      </rPr>
      <t xml:space="preserve"> ▪ 상근직 식비</t>
    </r>
    <r>
      <rPr>
        <sz val="9"/>
        <color indexed="8"/>
        <rFont val="굴림"/>
        <family val="3"/>
      </rPr>
      <t xml:space="preserve">             </t>
    </r>
    <r>
      <rPr>
        <b/>
        <sz val="9"/>
        <color indexed="8"/>
        <rFont val="굴림"/>
        <family val="3"/>
      </rPr>
      <t xml:space="preserve"> 5,250,000원</t>
    </r>
    <r>
      <rPr>
        <sz val="9"/>
        <color indexed="8"/>
        <rFont val="굴림"/>
        <family val="3"/>
      </rPr>
      <t xml:space="preserve">
 50,000원x8명x12개월 = 4,800,000원
 50,000원x1명x9개월 = 450,000원</t>
    </r>
  </si>
  <si>
    <t xml:space="preserve">▪ 사무용품 가구구입           662,000원 
 ▪ 사무용 컴퓨터 구입        6,500,000원
 ▪ 세탁기                          619,000원
 ▪ 특정차량구매              39,411,680원  </t>
  </si>
  <si>
    <t xml:space="preserve">▪ 송년의 밤                     1,000,000원 
 식비   700,000원
 포상금  100,000원x3명=300,000원                 </t>
  </si>
  <si>
    <r>
      <t xml:space="preserve"> ▪ 산재보험              5,451,340원
</t>
    </r>
    <r>
      <rPr>
        <sz val="9"/>
        <color indexed="8"/>
        <rFont val="굴림"/>
        <family val="3"/>
      </rPr>
      <t xml:space="preserve"> 786,629,149원x 0.693% = 5,451,340원</t>
    </r>
  </si>
  <si>
    <t xml:space="preserve">▪ 차량유류대                     6,532,000원
  544,330원x12개월+40 = 6,532,000원
 ▪ 차량정비                        1,380,400원 </t>
  </si>
  <si>
    <t>▪ 직원교재구입                   200,000원
  4,000원x50권=200,000원
 ▪ 요양보호사 포상               100,000원
  50,000원x2명 = 100,000원
 ▪ 직원생일선물구입          1,200,000원
  30,000원x40명=1,200,000원</t>
  </si>
  <si>
    <t xml:space="preserve"> ▪ 목욕관리 지원금              600,000원
 50,000원x12개월=600,000원
 </t>
  </si>
  <si>
    <t>▪ 축하꽃다발                    100,000원
  50,000원x2명 = 100,000원
 ▪ 직원전문화교육선물           91,500원</t>
  </si>
  <si>
    <t xml:space="preserve">▪ 설명절 선물 나누기            900,000원
   떡국떡x 68명
 ▪ 추석명절 선물 나누기      1,000,000원
   찰떡x 76명 </t>
  </si>
  <si>
    <t xml:space="preserve"> ▪ 건강보험             20,923,280원</t>
  </si>
  <si>
    <t>647,779,567원x6.46%x1/2
 = 20,923,280원</t>
  </si>
  <si>
    <t xml:space="preserve"> 20,923,280원x8.51%=1,780,570원
 및 정산분(-32,450원)=1,748,120원</t>
  </si>
  <si>
    <t xml:space="preserve"> ▪ 장기요양              1,748,120원</t>
  </si>
  <si>
    <t xml:space="preserve"> ▪ 국민연금             18,490,120원</t>
  </si>
  <si>
    <t xml:space="preserve"> 410,891,556원x4.5% = 18,490,120원</t>
  </si>
  <si>
    <t>▪ 직원 격려 식대               2,470,080원
   617,520원x4분기=2,470,080원</t>
  </si>
  <si>
    <t>▪ 독거어르신 및 기능개선지원금
                           5,600,000원
 ▪ 직원유니폼 구입  3,150,000원</t>
  </si>
  <si>
    <t xml:space="preserve"> 요양보호사 11,050,000원
 설명절  
 200,000원x20명+150,000원x8명
  =5,200,000원
 추석명절
  200,000원x21명+150,000원x11명
  =5,850,000원               
  </t>
  </si>
  <si>
    <r>
      <rPr>
        <b/>
        <sz val="9"/>
        <color indexed="8"/>
        <rFont val="굴림"/>
        <family val="3"/>
      </rPr>
      <t>▪ 센터장</t>
    </r>
    <r>
      <rPr>
        <sz val="9"/>
        <color indexed="8"/>
        <rFont val="굴림"/>
        <family val="3"/>
      </rPr>
      <t xml:space="preserve">
 1,000,000원x 9개월 = </t>
    </r>
    <r>
      <rPr>
        <b/>
        <sz val="9"/>
        <color indexed="8"/>
        <rFont val="굴림"/>
        <family val="3"/>
      </rPr>
      <t>9,000,000원</t>
    </r>
    <r>
      <rPr>
        <sz val="9"/>
        <color indexed="8"/>
        <rFont val="굴림"/>
        <family val="3"/>
      </rPr>
      <t xml:space="preserve">
 2,654,810원x 3개월 = </t>
    </r>
    <r>
      <rPr>
        <b/>
        <sz val="9"/>
        <color indexed="8"/>
        <rFont val="굴림"/>
        <family val="3"/>
      </rPr>
      <t>7,964,430원</t>
    </r>
  </si>
  <si>
    <r>
      <rPr>
        <b/>
        <sz val="9"/>
        <color indexed="8"/>
        <rFont val="굴림"/>
        <family val="3"/>
      </rPr>
      <t>▪ 사회복지사            36,230,000원</t>
    </r>
    <r>
      <rPr>
        <sz val="9"/>
        <color indexed="8"/>
        <rFont val="굴림"/>
        <family val="3"/>
      </rPr>
      <t xml:space="preserve">
 1,750,000원x6개월x1명=</t>
    </r>
    <r>
      <rPr>
        <b/>
        <sz val="9"/>
        <color indexed="8"/>
        <rFont val="굴림"/>
        <family val="3"/>
      </rPr>
      <t xml:space="preserve">10,500,000원
</t>
    </r>
    <r>
      <rPr>
        <sz val="9"/>
        <color indexed="8"/>
        <rFont val="굴림"/>
        <family val="3"/>
      </rPr>
      <t xml:space="preserve"> 1,750,000원x2개월x1명=</t>
    </r>
    <r>
      <rPr>
        <b/>
        <sz val="9"/>
        <color indexed="8"/>
        <rFont val="굴림"/>
        <family val="3"/>
      </rPr>
      <t xml:space="preserve">3,500,000원
</t>
    </r>
    <r>
      <rPr>
        <sz val="9"/>
        <color indexed="8"/>
        <rFont val="굴림"/>
        <family val="3"/>
      </rPr>
      <t xml:space="preserve"> 1,710,000원x10개월x1명=</t>
    </r>
    <r>
      <rPr>
        <b/>
        <sz val="9"/>
        <color indexed="8"/>
        <rFont val="굴림"/>
        <family val="3"/>
      </rPr>
      <t xml:space="preserve">17,100,000원
 </t>
    </r>
    <r>
      <rPr>
        <sz val="9"/>
        <color indexed="8"/>
        <rFont val="굴림"/>
        <family val="3"/>
      </rPr>
      <t>1,710,000원x3개월x1명=</t>
    </r>
    <r>
      <rPr>
        <b/>
        <sz val="9"/>
        <color indexed="8"/>
        <rFont val="굴림"/>
        <family val="3"/>
      </rPr>
      <t>5,130,000원</t>
    </r>
  </si>
  <si>
    <r>
      <rPr>
        <b/>
        <sz val="9"/>
        <color indexed="8"/>
        <rFont val="굴림"/>
        <family val="3"/>
      </rPr>
      <t>▪ 직원 처우개선비   18,790,000원</t>
    </r>
    <r>
      <rPr>
        <sz val="9"/>
        <color indexed="8"/>
        <rFont val="굴림"/>
        <family val="3"/>
      </rPr>
      <t xml:space="preserve">
</t>
    </r>
    <r>
      <rPr>
        <b/>
        <sz val="9"/>
        <color indexed="8"/>
        <rFont val="굴림"/>
        <family val="3"/>
      </rPr>
      <t xml:space="preserve"> 센터장</t>
    </r>
    <r>
      <rPr>
        <sz val="9"/>
        <color indexed="8"/>
        <rFont val="굴림"/>
        <family val="3"/>
      </rPr>
      <t xml:space="preserve">
170,000원x9개월 = 1,530,000원
150,000원x3개월 = 450,000원
 </t>
    </r>
    <r>
      <rPr>
        <b/>
        <sz val="9"/>
        <color indexed="8"/>
        <rFont val="굴림"/>
        <family val="3"/>
      </rPr>
      <t xml:space="preserve">사무국장
</t>
    </r>
    <r>
      <rPr>
        <sz val="9"/>
        <color indexed="8"/>
        <rFont val="굴림"/>
        <family val="3"/>
      </rPr>
      <t>200,000원x11개월 = 2,200,000원</t>
    </r>
  </si>
  <si>
    <r>
      <rPr>
        <b/>
        <sz val="9"/>
        <color indexed="8"/>
        <rFont val="굴림"/>
        <family val="3"/>
      </rPr>
      <t xml:space="preserve"> 사무원</t>
    </r>
    <r>
      <rPr>
        <sz val="9"/>
        <color indexed="8"/>
        <rFont val="굴림"/>
        <family val="3"/>
      </rPr>
      <t xml:space="preserve">           
180,000원x12개월 = 2,160,000원
</t>
    </r>
    <r>
      <rPr>
        <b/>
        <sz val="9"/>
        <color indexed="8"/>
        <rFont val="굴림"/>
        <family val="3"/>
      </rPr>
      <t xml:space="preserve"> 사회복지사 </t>
    </r>
    <r>
      <rPr>
        <sz val="9"/>
        <color indexed="8"/>
        <rFont val="굴림"/>
        <family val="3"/>
      </rPr>
      <t xml:space="preserve">
170,000원x6개월 = 1,020,000원
170,000원x2개월 = 340,000원
170,000원x10개월 = 1,700,000원
170,000원x3개월 = 510,000원</t>
    </r>
  </si>
  <si>
    <r>
      <rPr>
        <b/>
        <sz val="9"/>
        <color indexed="8"/>
        <rFont val="굴림"/>
        <family val="3"/>
      </rPr>
      <t xml:space="preserve"> 상근요양보호사(방문요양)</t>
    </r>
    <r>
      <rPr>
        <sz val="9"/>
        <color indexed="8"/>
        <rFont val="굴림"/>
        <family val="3"/>
      </rPr>
      <t xml:space="preserve">
200,000원x12개월 = 2,400,000원
180,000원x12개월 = 2,160,000원
170,000원x1개월 = 170,000원
</t>
    </r>
    <r>
      <rPr>
        <b/>
        <sz val="9"/>
        <color indexed="8"/>
        <rFont val="굴림"/>
        <family val="3"/>
      </rPr>
      <t xml:space="preserve"> 상근요양보호사(방문목욕)</t>
    </r>
    <r>
      <rPr>
        <sz val="9"/>
        <color indexed="8"/>
        <rFont val="굴림"/>
        <family val="3"/>
      </rPr>
      <t xml:space="preserve">
180,0000원x6개월+200,000원x6개월
=2,280,000원
170,000원x11개월=1,870,000원</t>
    </r>
  </si>
  <si>
    <r>
      <rPr>
        <b/>
        <sz val="9"/>
        <color indexed="8"/>
        <rFont val="굴림"/>
        <family val="3"/>
      </rPr>
      <t xml:space="preserve">▪ 가족수당               1,400,000원      </t>
    </r>
    <r>
      <rPr>
        <sz val="9"/>
        <color indexed="8"/>
        <rFont val="굴림"/>
        <family val="3"/>
      </rPr>
      <t xml:space="preserve">
 사무국장: 120,000원x11개월=1,320,000원
 사무원: 20,000원x4개월=80,000원</t>
    </r>
  </si>
  <si>
    <r>
      <rPr>
        <b/>
        <sz val="9"/>
        <color indexed="8"/>
        <rFont val="굴림"/>
        <family val="3"/>
      </rPr>
      <t xml:space="preserve"> ▪ 특별수당             3,681,840원</t>
    </r>
    <r>
      <rPr>
        <sz val="9"/>
        <color indexed="8"/>
        <rFont val="굴림"/>
        <family val="3"/>
      </rPr>
      <t xml:space="preserve">
  (명절수당 차액분-18년기준)
  사무국장: 199,460원x12회=2,393,520원
  사무원: 107,360원x12회=1,288,320원</t>
    </r>
  </si>
  <si>
    <r>
      <rPr>
        <b/>
        <sz val="9"/>
        <color indexed="8"/>
        <rFont val="굴림"/>
        <family val="3"/>
      </rPr>
      <t>▪ 휴일수당                713,210원</t>
    </r>
    <r>
      <rPr>
        <sz val="9"/>
        <color indexed="8"/>
        <rFont val="굴림"/>
        <family val="3"/>
      </rPr>
      <t xml:space="preserve">
</t>
    </r>
  </si>
  <si>
    <r>
      <rPr>
        <b/>
        <sz val="9"/>
        <rFont val="굴림"/>
        <family val="3"/>
      </rPr>
      <t>▪ 목욕전담요양보호사  42,555,480원</t>
    </r>
    <r>
      <rPr>
        <sz val="9"/>
        <rFont val="돋움"/>
        <family val="3"/>
      </rPr>
      <t xml:space="preserve">
 </t>
    </r>
    <r>
      <rPr>
        <sz val="9"/>
        <rFont val="굴림"/>
        <family val="3"/>
      </rPr>
      <t>목욕전담1
1,900,000원x12개월x1명 = 22,800,000원
 목욕전담2
1,730,000원x11개월+725,480원
 = 19,755,480원</t>
    </r>
  </si>
  <si>
    <t xml:space="preserve"> 182,457,143원x 1.05% =1,915,800원</t>
  </si>
  <si>
    <t xml:space="preserve"> ▪ 어르신 야외 나들이</t>
  </si>
  <si>
    <t xml:space="preserve"> ▪ 방문요양 등급외 운영비
  8,750,000원x4분기
  =35,000,000원</t>
  </si>
  <si>
    <t>▪ 추가인력가산금(방문요양)
  : 49,669,960원
 ▪ 추가인력가산금(방문목욕)
  : 8,365,400원</t>
  </si>
  <si>
    <t xml:space="preserve">  12개월x 322,080원=3,864,960원  </t>
  </si>
  <si>
    <t xml:space="preserve"> ▪ 유니폼 구입                4,400,000원
  앞치마 25,000원x50벌=1,250,000원
  패딩 70,000원x45벌=3,150,000원 </t>
  </si>
  <si>
    <r>
      <rPr>
        <b/>
        <sz val="9"/>
        <color indexed="8"/>
        <rFont val="굴림"/>
        <family val="3"/>
      </rPr>
      <t>▪ 명절수당              19,550,000원</t>
    </r>
    <r>
      <rPr>
        <sz val="9"/>
        <color indexed="8"/>
        <rFont val="굴림"/>
        <family val="3"/>
      </rPr>
      <t xml:space="preserve">
  시설장: 500,000원x 2회=1,000,000원
  사무국장: 500,000원x 2회=1,000,000원
  사무원: 500,000원x 2회=1,000,000원
  사회복지사: 500,000원x1회x3명
                 =1,500,000원</t>
    </r>
  </si>
  <si>
    <t>(방문요양, 방문목욕, 방문요양 등급외)</t>
  </si>
  <si>
    <t>성안노인복지센터 2019년도 세입ㆍ세출 결산(안)</t>
  </si>
  <si>
    <t>결산액</t>
  </si>
  <si>
    <r>
      <rPr>
        <b/>
        <sz val="9"/>
        <color indexed="8"/>
        <rFont val="굴림"/>
        <family val="3"/>
      </rPr>
      <t xml:space="preserve">
▪ 방문요양보호사</t>
    </r>
    <r>
      <rPr>
        <sz val="9"/>
        <color indexed="8"/>
        <rFont val="굴림"/>
        <family val="3"/>
      </rPr>
      <t xml:space="preserve"> 
 40,055,420원 x 12개월+90원
 = 480,665,130원
</t>
    </r>
    <r>
      <rPr>
        <b/>
        <sz val="9"/>
        <color indexed="8"/>
        <rFont val="굴림"/>
        <family val="3"/>
      </rPr>
      <t>▪ 가파대상요양보호사</t>
    </r>
    <r>
      <rPr>
        <sz val="9"/>
        <color indexed="8"/>
        <rFont val="굴림"/>
        <family val="3"/>
      </rPr>
      <t xml:space="preserve">
 755회x8,500원 =6,417,500원
</t>
    </r>
    <r>
      <rPr>
        <b/>
        <sz val="9"/>
        <color indexed="8"/>
        <rFont val="굴림"/>
        <family val="3"/>
      </rPr>
      <t>▪ 장기요양 근속 장려금  7,730,000원</t>
    </r>
    <r>
      <rPr>
        <sz val="9"/>
        <color indexed="8"/>
        <rFont val="굴림"/>
        <family val="3"/>
      </rPr>
      <t xml:space="preserve">
  540,000원x1개월 =</t>
    </r>
    <r>
      <rPr>
        <b/>
        <sz val="9"/>
        <color indexed="8"/>
        <rFont val="굴림"/>
        <family val="3"/>
      </rPr>
      <t xml:space="preserve"> </t>
    </r>
    <r>
      <rPr>
        <sz val="9"/>
        <color indexed="8"/>
        <rFont val="굴림"/>
        <family val="3"/>
      </rPr>
      <t>540,000원</t>
    </r>
    <r>
      <rPr>
        <b/>
        <sz val="9"/>
        <color indexed="8"/>
        <rFont val="굴림"/>
        <family val="3"/>
      </rPr>
      <t xml:space="preserve">
  </t>
    </r>
    <r>
      <rPr>
        <sz val="9"/>
        <color indexed="8"/>
        <rFont val="굴림"/>
        <family val="3"/>
      </rPr>
      <t>600,000원x2개월 = 1,200,000원
  610,000원x1개월 = 610,000원 
  620,000원x1개월 = 620,000원
  680,000원x7개월 = 4,760,000원</t>
    </r>
  </si>
  <si>
    <t xml:space="preserve"> ▪ 고용보험              10,953,540원</t>
  </si>
  <si>
    <t xml:space="preserve"> 1,004,193,333원x 0.9% =9,037,740원</t>
  </si>
  <si>
    <t>▪ 타기관 업무관련      
 152,100원x4분기 = 608,400원</t>
  </si>
  <si>
    <t>△149,827</t>
  </si>
  <si>
    <t>2019년도 세입ㆍ세출 결산(안)</t>
  </si>
  <si>
    <t>△204,347</t>
  </si>
  <si>
    <t>▪ 상근직
 229,771,750원x1/12 =19,147,640원
▪ 시간제
 423,096,360x1/12 =35,258,030원</t>
  </si>
  <si>
    <t>▪ 방문요양
 4,903,170원x12개월+60원
 =58,838,100원
 ▪ 방문목욕
 775,100원x12개월+60원
  = 9,301,260원</t>
  </si>
  <si>
    <t xml:space="preserve"> ▪ 현대카드리워드(캐쉬백)
  : 149,394원
  ▪ 요양보호사 실습비
   : 415,000원
  ▪ 설문조사사례비
   : 35,000원</t>
  </si>
  <si>
    <t xml:space="preserve">▪ 경조사비                     
 15명x50,000원=750,000원
 ▪ 지도점검 및 업무 관련 간식
  1회x53,820원= 53,820원 </t>
  </si>
  <si>
    <t xml:space="preserve">▪ 직원 병문안                    50,000원 
 50,000원x1회=50,000원                
 ▪ 퇴직꽃다발                     50,000원 
  50,000원x1회=50,000원     </t>
  </si>
  <si>
    <t xml:space="preserve">▪ 운영위원회식대                 95,000원
 95,000원x1회=95,000원  </t>
  </si>
  <si>
    <t>▪ 도내 참가비 및 경비       
 171,410원x12개월+80원=2,057,000원
 ▪ 도외 참가비 및 경비      
 287,650원x12개월=3,451,800원</t>
  </si>
  <si>
    <t>▪ 목욕물품                       
 181,960원x12개월=2,183,560원
 ▪ 수수료                            
 23,940원x12개월+80원=287,360원</t>
  </si>
  <si>
    <t>▪ 인쇄비                         
 45,000원+120,000원+50,000원
 = 215,000원
 ▪ 사무용품 및 기타          
   232,450원x12개월+60원=2,789,460원
 ▪ 요양물품                     
   70,000원x1개=70,000원</t>
  </si>
  <si>
    <t xml:space="preserve">▪ 통신요금                     
 56,770원x12개월+10원=681,250원
 ▪ 우편요금                         
 27,620원x12개월+100원=331,540원
 ▪ 보험료                          4,486,490원
 (자동차보험: 3,067,290원+ 배상책임보험: 1,419,200원) </t>
  </si>
  <si>
    <t>▪ 자동차세                    
 27,070원+51,940원+61,750원+27,070원+143,290원=311,120원
 ▪ 환경개선부담금                 
  97,120원+99,910원=197,030원
 ▪ 협회비                       
 150,000원x4분기+100,000원=700,000원
 ▪ 신원보증
 10,780원+7,700원=18,480원</t>
  </si>
  <si>
    <t>장기근속</t>
  </si>
  <si>
    <t xml:space="preserve">
요양
급여수입</t>
  </si>
  <si>
    <t xml:space="preserve">▪ 방문요양: 617,026,240원
 ▪ 방문목욕: 102,052,060원
                          </t>
  </si>
  <si>
    <t xml:space="preserve"> ▪ 장기근속: 7,730,000원   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</si>
</sst>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0.0%"/>
    <numFmt numFmtId="191" formatCode="0.000%"/>
    <numFmt numFmtId="192" formatCode="_-* #,##0.0_-;\-* #,##0.0_-;_-* &quot;-&quot;?_-;_-@_-"/>
    <numFmt numFmtId="193" formatCode="#,##0_ "/>
    <numFmt numFmtId="194" formatCode="#&quot;△&quot;#"/>
    <numFmt numFmtId="195" formatCode="#,##0_);[Red]\(#,##0\)"/>
    <numFmt numFmtId="196" formatCode="_-* #,##0.0000_-;\-* #,##0.0000_-;_-* &quot;-&quot;????_-;_-@_-"/>
    <numFmt numFmtId="197" formatCode="_-* #,##0.000000000_-;\-* #,##0.000000000_-;_-* &quot;-&quot;?????????_-;_-@_-"/>
    <numFmt numFmtId="198" formatCode="[$-412]yyyy&quot;년 &quot;m&quot;월 &quot;d&quot;일 &quot;dddd"/>
    <numFmt numFmtId="199" formatCode="[$-412]AM/PM\ h:mm:ss"/>
    <numFmt numFmtId="200" formatCode="0_);[Red]\(0\)"/>
    <numFmt numFmtId="201" formatCode="[$-412]yyyy&quot;년&quot;\ m&quot;월&quot;\ d&quot;일&quot;\ dddd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</numFmts>
  <fonts count="66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24"/>
      <name val="굴림"/>
      <family val="3"/>
    </font>
    <font>
      <sz val="10"/>
      <name val="굴림"/>
      <family val="3"/>
    </font>
    <font>
      <sz val="10"/>
      <name val="돋움"/>
      <family val="3"/>
    </font>
    <font>
      <b/>
      <sz val="10"/>
      <name val="굴림"/>
      <family val="3"/>
    </font>
    <font>
      <b/>
      <sz val="10"/>
      <color indexed="8"/>
      <name val="굴림"/>
      <family val="3"/>
    </font>
    <font>
      <sz val="9"/>
      <color indexed="8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9"/>
      <color indexed="8"/>
      <name val="굴림"/>
      <family val="3"/>
    </font>
    <font>
      <b/>
      <sz val="11"/>
      <name val="돋움"/>
      <family val="3"/>
    </font>
    <font>
      <sz val="8"/>
      <name val="굴림"/>
      <family val="3"/>
    </font>
    <font>
      <b/>
      <sz val="11"/>
      <name val="굴림"/>
      <family val="3"/>
    </font>
    <font>
      <b/>
      <u val="singleAccounting"/>
      <sz val="11"/>
      <name val="돋움"/>
      <family val="3"/>
    </font>
    <font>
      <b/>
      <sz val="12"/>
      <name val="돋움"/>
      <family val="3"/>
    </font>
    <font>
      <b/>
      <sz val="15"/>
      <name val="굴림"/>
      <family val="3"/>
    </font>
    <font>
      <b/>
      <u val="single"/>
      <sz val="12"/>
      <name val="굴림"/>
      <family val="3"/>
    </font>
    <font>
      <sz val="15"/>
      <name val="굴림"/>
      <family val="3"/>
    </font>
    <font>
      <sz val="14"/>
      <name val="돋움"/>
      <family val="3"/>
    </font>
    <font>
      <b/>
      <sz val="14"/>
      <name val="돋움"/>
      <family val="3"/>
    </font>
    <font>
      <u val="single"/>
      <sz val="11"/>
      <name val="돋움"/>
      <family val="3"/>
    </font>
    <font>
      <b/>
      <sz val="16"/>
      <name val="돋움"/>
      <family val="3"/>
    </font>
    <font>
      <b/>
      <sz val="22"/>
      <name val="굴림"/>
      <family val="3"/>
    </font>
    <font>
      <u val="single"/>
      <sz val="20"/>
      <name val="굴림"/>
      <family val="3"/>
    </font>
    <font>
      <b/>
      <sz val="20"/>
      <name val="굴림"/>
      <family val="3"/>
    </font>
    <font>
      <sz val="15"/>
      <name val="돋움"/>
      <family val="3"/>
    </font>
    <font>
      <u val="single"/>
      <sz val="18"/>
      <name val="굴림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medium"/>
      <bottom style="medium"/>
    </border>
    <border>
      <left style="thin"/>
      <right style="thin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3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2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41" fontId="6" fillId="0" borderId="11" xfId="48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1" fontId="6" fillId="0" borderId="12" xfId="48" applyFont="1" applyBorder="1" applyAlignment="1">
      <alignment vertical="center"/>
    </xf>
    <xf numFmtId="41" fontId="6" fillId="0" borderId="13" xfId="48" applyFont="1" applyBorder="1" applyAlignment="1">
      <alignment vertical="center"/>
    </xf>
    <xf numFmtId="41" fontId="8" fillId="0" borderId="14" xfId="48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41" fontId="8" fillId="0" borderId="16" xfId="48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7" xfId="0" applyFont="1" applyBorder="1" applyAlignment="1">
      <alignment vertical="center"/>
    </xf>
    <xf numFmtId="0" fontId="10" fillId="0" borderId="18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justify" vertical="center"/>
    </xf>
    <xf numFmtId="0" fontId="8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12" fillId="0" borderId="24" xfId="48" applyFont="1" applyFill="1" applyBorder="1" applyAlignment="1">
      <alignment horizontal="left" vertical="center" wrapText="1"/>
    </xf>
    <xf numFmtId="41" fontId="6" fillId="0" borderId="14" xfId="48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41" fontId="12" fillId="0" borderId="29" xfId="48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center" vertical="center" wrapText="1"/>
    </xf>
    <xf numFmtId="41" fontId="0" fillId="0" borderId="0" xfId="0" applyNumberFormat="1" applyAlignment="1">
      <alignment vertical="center"/>
    </xf>
    <xf numFmtId="41" fontId="6" fillId="0" borderId="30" xfId="48" applyFont="1" applyBorder="1" applyAlignment="1">
      <alignment vertical="center"/>
    </xf>
    <xf numFmtId="41" fontId="16" fillId="0" borderId="16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193" fontId="0" fillId="0" borderId="0" xfId="0" applyNumberFormat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1" fontId="7" fillId="0" borderId="0" xfId="0" applyNumberFormat="1" applyFont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3" fillId="0" borderId="19" xfId="0" applyFont="1" applyBorder="1" applyAlignment="1">
      <alignment horizontal="justify" vertical="center"/>
    </xf>
    <xf numFmtId="0" fontId="10" fillId="0" borderId="28" xfId="0" applyFont="1" applyBorder="1" applyAlignment="1">
      <alignment horizontal="justify" vertical="center"/>
    </xf>
    <xf numFmtId="0" fontId="12" fillId="0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41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41" fontId="6" fillId="0" borderId="35" xfId="48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3" fontId="0" fillId="0" borderId="0" xfId="0" applyNumberFormat="1" applyAlignment="1">
      <alignment vertical="center"/>
    </xf>
    <xf numFmtId="41" fontId="2" fillId="0" borderId="28" xfId="0" applyNumberFormat="1" applyFont="1" applyFill="1" applyBorder="1" applyAlignment="1">
      <alignment horizontal="center" vertical="center"/>
    </xf>
    <xf numFmtId="190" fontId="0" fillId="0" borderId="0" xfId="0" applyNumberFormat="1" applyAlignment="1">
      <alignment vertical="center"/>
    </xf>
    <xf numFmtId="196" fontId="0" fillId="0" borderId="0" xfId="0" applyNumberFormat="1" applyAlignment="1">
      <alignment vertical="center"/>
    </xf>
    <xf numFmtId="41" fontId="17" fillId="0" borderId="0" xfId="0" applyNumberFormat="1" applyFont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195" fontId="6" fillId="0" borderId="36" xfId="48" applyNumberFormat="1" applyFont="1" applyFill="1" applyBorder="1" applyAlignment="1">
      <alignment vertical="center"/>
    </xf>
    <xf numFmtId="195" fontId="8" fillId="0" borderId="37" xfId="48" applyNumberFormat="1" applyFont="1" applyFill="1" applyBorder="1" applyAlignment="1">
      <alignment vertical="center"/>
    </xf>
    <xf numFmtId="195" fontId="0" fillId="0" borderId="0" xfId="0" applyNumberFormat="1" applyBorder="1" applyAlignment="1">
      <alignment vertical="center"/>
    </xf>
    <xf numFmtId="195" fontId="6" fillId="0" borderId="38" xfId="48" applyNumberFormat="1" applyFont="1" applyFill="1" applyBorder="1" applyAlignment="1">
      <alignment vertical="center"/>
    </xf>
    <xf numFmtId="195" fontId="8" fillId="0" borderId="35" xfId="0" applyNumberFormat="1" applyFont="1" applyBorder="1" applyAlignment="1">
      <alignment vertical="center"/>
    </xf>
    <xf numFmtId="195" fontId="8" fillId="0" borderId="39" xfId="48" applyNumberFormat="1" applyFont="1" applyFill="1" applyBorder="1" applyAlignment="1">
      <alignment vertical="center"/>
    </xf>
    <xf numFmtId="195" fontId="0" fillId="0" borderId="0" xfId="0" applyNumberFormat="1" applyAlignment="1">
      <alignment vertical="center"/>
    </xf>
    <xf numFmtId="195" fontId="7" fillId="0" borderId="0" xfId="0" applyNumberFormat="1" applyFont="1" applyAlignment="1">
      <alignment vertical="center"/>
    </xf>
    <xf numFmtId="195" fontId="5" fillId="0" borderId="0" xfId="0" applyNumberFormat="1" applyFont="1" applyBorder="1" applyAlignment="1">
      <alignment vertical="center"/>
    </xf>
    <xf numFmtId="195" fontId="6" fillId="0" borderId="40" xfId="48" applyNumberFormat="1" applyFont="1" applyFill="1" applyBorder="1" applyAlignment="1">
      <alignment vertical="center"/>
    </xf>
    <xf numFmtId="195" fontId="2" fillId="0" borderId="41" xfId="0" applyNumberFormat="1" applyFont="1" applyFill="1" applyBorder="1" applyAlignment="1">
      <alignment horizontal="right" vertical="center"/>
    </xf>
    <xf numFmtId="195" fontId="0" fillId="0" borderId="0" xfId="0" applyNumberFormat="1" applyFill="1" applyAlignment="1">
      <alignment vertical="center"/>
    </xf>
    <xf numFmtId="195" fontId="7" fillId="0" borderId="0" xfId="0" applyNumberFormat="1" applyFont="1" applyFill="1" applyAlignment="1">
      <alignment vertical="center"/>
    </xf>
    <xf numFmtId="195" fontId="0" fillId="0" borderId="0" xfId="0" applyNumberFormat="1" applyFill="1" applyBorder="1" applyAlignment="1">
      <alignment vertical="center"/>
    </xf>
    <xf numFmtId="195" fontId="6" fillId="0" borderId="0" xfId="0" applyNumberFormat="1" applyFont="1" applyAlignment="1">
      <alignment vertical="center"/>
    </xf>
    <xf numFmtId="195" fontId="2" fillId="0" borderId="42" xfId="0" applyNumberFormat="1" applyFont="1" applyFill="1" applyBorder="1" applyAlignment="1">
      <alignment horizontal="right" vertical="center"/>
    </xf>
    <xf numFmtId="195" fontId="16" fillId="0" borderId="43" xfId="48" applyNumberFormat="1" applyFont="1" applyFill="1" applyBorder="1" applyAlignment="1">
      <alignment horizontal="right" vertical="center"/>
    </xf>
    <xf numFmtId="0" fontId="12" fillId="0" borderId="44" xfId="0" applyFont="1" applyBorder="1" applyAlignment="1">
      <alignment horizontal="center" vertical="center" wrapText="1"/>
    </xf>
    <xf numFmtId="195" fontId="16" fillId="0" borderId="45" xfId="48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horizontal="center" vertical="center" wrapText="1"/>
    </xf>
    <xf numFmtId="195" fontId="8" fillId="0" borderId="43" xfId="48" applyNumberFormat="1" applyFont="1" applyFill="1" applyBorder="1" applyAlignment="1">
      <alignment vertical="center"/>
    </xf>
    <xf numFmtId="195" fontId="16" fillId="0" borderId="43" xfId="0" applyNumberFormat="1" applyFont="1" applyFill="1" applyBorder="1" applyAlignment="1">
      <alignment horizontal="right" vertical="center"/>
    </xf>
    <xf numFmtId="41" fontId="0" fillId="0" borderId="46" xfId="0" applyNumberFormat="1" applyBorder="1" applyAlignment="1">
      <alignment vertical="center"/>
    </xf>
    <xf numFmtId="41" fontId="18" fillId="0" borderId="46" xfId="0" applyNumberFormat="1" applyFont="1" applyBorder="1" applyAlignment="1">
      <alignment vertical="center"/>
    </xf>
    <xf numFmtId="41" fontId="7" fillId="0" borderId="46" xfId="0" applyNumberFormat="1" applyFont="1" applyBorder="1" applyAlignment="1">
      <alignment vertical="center"/>
    </xf>
    <xf numFmtId="41" fontId="6" fillId="0" borderId="41" xfId="48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41" fontId="8" fillId="0" borderId="47" xfId="0" applyNumberFormat="1" applyFont="1" applyBorder="1" applyAlignment="1">
      <alignment vertical="center"/>
    </xf>
    <xf numFmtId="195" fontId="8" fillId="0" borderId="0" xfId="0" applyNumberFormat="1" applyFont="1" applyAlignment="1">
      <alignment vertical="center"/>
    </xf>
    <xf numFmtId="195" fontId="6" fillId="0" borderId="11" xfId="48" applyNumberFormat="1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/>
    </xf>
    <xf numFmtId="190" fontId="17" fillId="0" borderId="0" xfId="0" applyNumberFormat="1" applyFont="1" applyAlignment="1">
      <alignment vertical="center"/>
    </xf>
    <xf numFmtId="195" fontId="2" fillId="0" borderId="41" xfId="48" applyNumberFormat="1" applyFont="1" applyFill="1" applyBorder="1" applyAlignment="1">
      <alignment horizontal="right" vertical="center"/>
    </xf>
    <xf numFmtId="195" fontId="2" fillId="0" borderId="13" xfId="48" applyNumberFormat="1" applyFont="1" applyFill="1" applyBorder="1" applyAlignment="1">
      <alignment horizontal="right" vertical="center"/>
    </xf>
    <xf numFmtId="41" fontId="22" fillId="0" borderId="11" xfId="48" applyFont="1" applyFill="1" applyBorder="1" applyAlignment="1">
      <alignment vertical="center"/>
    </xf>
    <xf numFmtId="41" fontId="22" fillId="0" borderId="48" xfId="48" applyFont="1" applyBorder="1" applyAlignment="1">
      <alignment vertical="center"/>
    </xf>
    <xf numFmtId="41" fontId="22" fillId="0" borderId="49" xfId="48" applyFont="1" applyBorder="1" applyAlignment="1">
      <alignment vertical="center"/>
    </xf>
    <xf numFmtId="41" fontId="22" fillId="0" borderId="13" xfId="48" applyFont="1" applyBorder="1" applyAlignment="1">
      <alignment vertical="center"/>
    </xf>
    <xf numFmtId="41" fontId="22" fillId="0" borderId="11" xfId="48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/>
    </xf>
    <xf numFmtId="41" fontId="22" fillId="0" borderId="50" xfId="48" applyFont="1" applyFill="1" applyBorder="1" applyAlignment="1">
      <alignment horizontal="right" vertical="center"/>
    </xf>
    <xf numFmtId="0" fontId="23" fillId="0" borderId="49" xfId="0" applyFont="1" applyBorder="1" applyAlignment="1">
      <alignment horizontal="center" vertical="center" wrapText="1"/>
    </xf>
    <xf numFmtId="194" fontId="25" fillId="0" borderId="0" xfId="0" applyNumberFormat="1" applyFont="1" applyBorder="1" applyAlignment="1">
      <alignment horizontal="center" vertical="center"/>
    </xf>
    <xf numFmtId="41" fontId="22" fillId="0" borderId="0" xfId="48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41" fontId="16" fillId="0" borderId="16" xfId="48" applyFont="1" applyBorder="1" applyAlignment="1">
      <alignment vertical="center"/>
    </xf>
    <xf numFmtId="41" fontId="16" fillId="0" borderId="51" xfId="48" applyFont="1" applyBorder="1" applyAlignment="1">
      <alignment vertical="center"/>
    </xf>
    <xf numFmtId="41" fontId="16" fillId="0" borderId="51" xfId="0" applyNumberFormat="1" applyFont="1" applyBorder="1" applyAlignment="1">
      <alignment vertical="center"/>
    </xf>
    <xf numFmtId="193" fontId="16" fillId="0" borderId="16" xfId="0" applyNumberFormat="1" applyFont="1" applyBorder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41" fontId="22" fillId="0" borderId="52" xfId="48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6" fillId="0" borderId="0" xfId="48" applyFont="1" applyFill="1" applyBorder="1" applyAlignment="1">
      <alignment horizontal="left" vertical="center"/>
    </xf>
    <xf numFmtId="0" fontId="9" fillId="0" borderId="0" xfId="0" applyFont="1" applyBorder="1" applyAlignment="1">
      <alignment horizontal="justify" vertical="center"/>
    </xf>
    <xf numFmtId="41" fontId="6" fillId="0" borderId="0" xfId="48" applyFont="1" applyFill="1" applyBorder="1" applyAlignment="1">
      <alignment horizontal="left" vertical="center" wrapText="1"/>
    </xf>
    <xf numFmtId="41" fontId="6" fillId="0" borderId="0" xfId="48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55" xfId="0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93" fontId="16" fillId="0" borderId="16" xfId="48" applyNumberFormat="1" applyFont="1" applyBorder="1" applyAlignment="1">
      <alignment horizontal="right" vertical="center"/>
    </xf>
    <xf numFmtId="193" fontId="2" fillId="0" borderId="42" xfId="48" applyNumberFormat="1" applyFont="1" applyBorder="1" applyAlignment="1">
      <alignment horizontal="right" vertical="center"/>
    </xf>
    <xf numFmtId="193" fontId="0" fillId="0" borderId="12" xfId="48" applyNumberFormat="1" applyFont="1" applyFill="1" applyBorder="1" applyAlignment="1">
      <alignment horizontal="right" vertical="center"/>
    </xf>
    <xf numFmtId="193" fontId="0" fillId="0" borderId="13" xfId="48" applyNumberFormat="1" applyFont="1" applyFill="1" applyBorder="1" applyAlignment="1">
      <alignment horizontal="right" vertical="center"/>
    </xf>
    <xf numFmtId="193" fontId="16" fillId="0" borderId="16" xfId="48" applyNumberFormat="1" applyFont="1" applyFill="1" applyBorder="1" applyAlignment="1">
      <alignment horizontal="right" vertical="center"/>
    </xf>
    <xf numFmtId="193" fontId="0" fillId="0" borderId="45" xfId="48" applyNumberFormat="1" applyFont="1" applyFill="1" applyBorder="1" applyAlignment="1">
      <alignment horizontal="right" vertical="center"/>
    </xf>
    <xf numFmtId="193" fontId="16" fillId="0" borderId="51" xfId="0" applyNumberFormat="1" applyFont="1" applyBorder="1" applyAlignment="1">
      <alignment vertical="center"/>
    </xf>
    <xf numFmtId="41" fontId="2" fillId="0" borderId="42" xfId="0" applyNumberFormat="1" applyFont="1" applyBorder="1" applyAlignment="1">
      <alignment horizontal="center" vertical="center" wrapText="1"/>
    </xf>
    <xf numFmtId="41" fontId="6" fillId="0" borderId="12" xfId="48" applyFont="1" applyBorder="1" applyAlignment="1">
      <alignment vertical="center"/>
    </xf>
    <xf numFmtId="41" fontId="8" fillId="0" borderId="12" xfId="48" applyFont="1" applyBorder="1" applyAlignment="1">
      <alignment vertical="center"/>
    </xf>
    <xf numFmtId="193" fontId="6" fillId="0" borderId="13" xfId="48" applyNumberFormat="1" applyFont="1" applyBorder="1" applyAlignment="1">
      <alignment vertical="center"/>
    </xf>
    <xf numFmtId="41" fontId="16" fillId="0" borderId="16" xfId="0" applyNumberFormat="1" applyFont="1" applyBorder="1" applyAlignment="1">
      <alignment vertical="center"/>
    </xf>
    <xf numFmtId="193" fontId="29" fillId="0" borderId="11" xfId="48" applyNumberFormat="1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195" fontId="2" fillId="0" borderId="13" xfId="0" applyNumberFormat="1" applyFont="1" applyFill="1" applyBorder="1" applyAlignment="1">
      <alignment horizontal="right" vertical="center"/>
    </xf>
    <xf numFmtId="41" fontId="0" fillId="0" borderId="46" xfId="0" applyNumberFormat="1" applyFont="1" applyBorder="1" applyAlignment="1">
      <alignment vertical="center"/>
    </xf>
    <xf numFmtId="193" fontId="0" fillId="0" borderId="16" xfId="48" applyNumberFormat="1" applyFont="1" applyFill="1" applyBorder="1" applyAlignment="1">
      <alignment horizontal="right" vertical="center"/>
    </xf>
    <xf numFmtId="41" fontId="6" fillId="0" borderId="45" xfId="48" applyFont="1" applyBorder="1" applyAlignment="1">
      <alignment vertical="center"/>
    </xf>
    <xf numFmtId="41" fontId="12" fillId="0" borderId="55" xfId="48" applyFont="1" applyFill="1" applyBorder="1" applyAlignment="1">
      <alignment horizontal="left" vertical="center" wrapText="1"/>
    </xf>
    <xf numFmtId="41" fontId="7" fillId="0" borderId="56" xfId="0" applyNumberFormat="1" applyFont="1" applyBorder="1" applyAlignment="1">
      <alignment vertical="center"/>
    </xf>
    <xf numFmtId="193" fontId="2" fillId="0" borderId="12" xfId="48" applyNumberFormat="1" applyFont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41" fontId="8" fillId="0" borderId="45" xfId="48" applyFont="1" applyBorder="1" applyAlignment="1">
      <alignment vertical="center"/>
    </xf>
    <xf numFmtId="41" fontId="16" fillId="0" borderId="37" xfId="48" applyFont="1" applyBorder="1" applyAlignment="1">
      <alignment vertical="center"/>
    </xf>
    <xf numFmtId="41" fontId="16" fillId="0" borderId="45" xfId="48" applyFont="1" applyBorder="1" applyAlignment="1">
      <alignment vertical="center"/>
    </xf>
    <xf numFmtId="193" fontId="16" fillId="0" borderId="45" xfId="48" applyNumberFormat="1" applyFont="1" applyBorder="1" applyAlignment="1">
      <alignment horizontal="right" vertical="center"/>
    </xf>
    <xf numFmtId="0" fontId="6" fillId="0" borderId="55" xfId="0" applyFont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41" fontId="12" fillId="0" borderId="23" xfId="48" applyFont="1" applyFill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41" fontId="0" fillId="0" borderId="0" xfId="48" applyFont="1" applyAlignment="1">
      <alignment vertical="center"/>
    </xf>
    <xf numFmtId="193" fontId="22" fillId="0" borderId="58" xfId="48" applyNumberFormat="1" applyFont="1" applyFill="1" applyBorder="1" applyAlignment="1">
      <alignment horizontal="right" vertical="center"/>
    </xf>
    <xf numFmtId="193" fontId="22" fillId="0" borderId="59" xfId="48" applyNumberFormat="1" applyFont="1" applyFill="1" applyBorder="1" applyAlignment="1">
      <alignment horizontal="right" vertical="center"/>
    </xf>
    <xf numFmtId="193" fontId="22" fillId="0" borderId="60" xfId="48" applyNumberFormat="1" applyFont="1" applyFill="1" applyBorder="1" applyAlignment="1">
      <alignment horizontal="right" vertical="center"/>
    </xf>
    <xf numFmtId="193" fontId="22" fillId="0" borderId="61" xfId="48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41" fontId="6" fillId="0" borderId="62" xfId="48" applyFont="1" applyBorder="1" applyAlignment="1">
      <alignment vertical="center"/>
    </xf>
    <xf numFmtId="0" fontId="10" fillId="0" borderId="63" xfId="0" applyFont="1" applyBorder="1" applyAlignment="1">
      <alignment horizontal="justify" vertical="center" wrapText="1"/>
    </xf>
    <xf numFmtId="41" fontId="6" fillId="0" borderId="64" xfId="48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193" fontId="0" fillId="0" borderId="41" xfId="48" applyNumberFormat="1" applyFont="1" applyFill="1" applyBorder="1" applyAlignment="1">
      <alignment horizontal="right" vertical="center"/>
    </xf>
    <xf numFmtId="41" fontId="12" fillId="0" borderId="32" xfId="48" applyFont="1" applyFill="1" applyBorder="1" applyAlignment="1">
      <alignment horizontal="left" vertical="center" wrapText="1"/>
    </xf>
    <xf numFmtId="41" fontId="6" fillId="0" borderId="65" xfId="48" applyFont="1" applyBorder="1" applyAlignment="1">
      <alignment vertical="center"/>
    </xf>
    <xf numFmtId="0" fontId="7" fillId="0" borderId="15" xfId="0" applyFont="1" applyBorder="1" applyAlignment="1">
      <alignment vertical="top"/>
    </xf>
    <xf numFmtId="195" fontId="2" fillId="0" borderId="11" xfId="0" applyNumberFormat="1" applyFont="1" applyFill="1" applyBorder="1" applyAlignment="1">
      <alignment horizontal="right" vertical="center"/>
    </xf>
    <xf numFmtId="0" fontId="12" fillId="0" borderId="63" xfId="0" applyFont="1" applyBorder="1" applyAlignment="1">
      <alignment vertical="center" wrapText="1"/>
    </xf>
    <xf numFmtId="41" fontId="2" fillId="0" borderId="12" xfId="0" applyNumberFormat="1" applyFont="1" applyBorder="1" applyAlignment="1">
      <alignment horizontal="center" vertical="center" wrapText="1"/>
    </xf>
    <xf numFmtId="41" fontId="0" fillId="0" borderId="0" xfId="0" applyNumberFormat="1" applyAlignment="1" quotePrefix="1">
      <alignment vertical="center"/>
    </xf>
    <xf numFmtId="0" fontId="6" fillId="0" borderId="10" xfId="0" applyFont="1" applyBorder="1" applyAlignment="1">
      <alignment horizontal="center" vertical="top" wrapText="1"/>
    </xf>
    <xf numFmtId="41" fontId="6" fillId="0" borderId="13" xfId="48" applyFont="1" applyBorder="1" applyAlignment="1">
      <alignment horizontal="center" vertical="center"/>
    </xf>
    <xf numFmtId="41" fontId="6" fillId="0" borderId="14" xfId="48" applyFont="1" applyBorder="1" applyAlignment="1">
      <alignment vertical="center"/>
    </xf>
    <xf numFmtId="41" fontId="6" fillId="0" borderId="12" xfId="48" applyFont="1" applyBorder="1" applyAlignment="1">
      <alignment horizontal="center" vertical="center"/>
    </xf>
    <xf numFmtId="193" fontId="2" fillId="0" borderId="12" xfId="48" applyNumberFormat="1" applyFont="1" applyBorder="1" applyAlignment="1">
      <alignment horizontal="center" vertical="center"/>
    </xf>
    <xf numFmtId="0" fontId="11" fillId="0" borderId="19" xfId="0" applyFont="1" applyBorder="1" applyAlignment="1">
      <alignment vertical="center" wrapText="1"/>
    </xf>
    <xf numFmtId="193" fontId="2" fillId="0" borderId="12" xfId="48" applyNumberFormat="1" applyFont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41" fontId="12" fillId="0" borderId="19" xfId="48" applyFont="1" applyFill="1" applyBorder="1" applyAlignment="1">
      <alignment horizontal="left" vertical="center" wrapText="1"/>
    </xf>
    <xf numFmtId="41" fontId="6" fillId="0" borderId="47" xfId="48" applyFont="1" applyBorder="1" applyAlignment="1">
      <alignment vertical="center"/>
    </xf>
    <xf numFmtId="41" fontId="6" fillId="0" borderId="16" xfId="48" applyFont="1" applyBorder="1" applyAlignment="1">
      <alignment vertical="center"/>
    </xf>
    <xf numFmtId="41" fontId="12" fillId="0" borderId="28" xfId="48" applyFont="1" applyFill="1" applyBorder="1" applyAlignment="1">
      <alignment horizontal="left" vertical="center" wrapText="1"/>
    </xf>
    <xf numFmtId="41" fontId="12" fillId="0" borderId="66" xfId="48" applyFont="1" applyFill="1" applyBorder="1" applyAlignment="1">
      <alignment horizontal="left" vertical="center" wrapText="1"/>
    </xf>
    <xf numFmtId="41" fontId="12" fillId="0" borderId="67" xfId="48" applyFont="1" applyFill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23" fillId="0" borderId="68" xfId="0" applyFont="1" applyBorder="1" applyAlignment="1">
      <alignment horizontal="center" vertical="center"/>
    </xf>
    <xf numFmtId="41" fontId="22" fillId="0" borderId="68" xfId="48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11" fillId="0" borderId="69" xfId="0" applyFont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41" fontId="6" fillId="0" borderId="68" xfId="48" applyFont="1" applyBorder="1" applyAlignment="1">
      <alignment vertical="center"/>
    </xf>
    <xf numFmtId="41" fontId="12" fillId="0" borderId="70" xfId="48" applyFont="1" applyFill="1" applyBorder="1" applyAlignment="1">
      <alignment horizontal="left" vertical="center" wrapText="1"/>
    </xf>
    <xf numFmtId="41" fontId="12" fillId="0" borderId="18" xfId="48" applyFont="1" applyFill="1" applyBorder="1" applyAlignment="1">
      <alignment horizontal="left" vertical="center" wrapText="1"/>
    </xf>
    <xf numFmtId="193" fontId="6" fillId="0" borderId="12" xfId="48" applyNumberFormat="1" applyFont="1" applyBorder="1" applyAlignment="1">
      <alignment vertical="center"/>
    </xf>
    <xf numFmtId="41" fontId="12" fillId="0" borderId="69" xfId="48" applyFont="1" applyFill="1" applyBorder="1" applyAlignment="1">
      <alignment horizontal="left" vertical="center" wrapText="1"/>
    </xf>
    <xf numFmtId="41" fontId="6" fillId="0" borderId="71" xfId="48" applyFont="1" applyBorder="1" applyAlignment="1">
      <alignment vertical="center"/>
    </xf>
    <xf numFmtId="41" fontId="12" fillId="0" borderId="72" xfId="48" applyFont="1" applyFill="1" applyBorder="1" applyAlignment="1">
      <alignment horizontal="left" vertical="center" wrapText="1"/>
    </xf>
    <xf numFmtId="0" fontId="6" fillId="0" borderId="73" xfId="0" applyFont="1" applyBorder="1" applyAlignment="1">
      <alignment horizontal="center" vertical="center" wrapText="1"/>
    </xf>
    <xf numFmtId="0" fontId="7" fillId="0" borderId="45" xfId="0" applyFont="1" applyBorder="1" applyAlignment="1">
      <alignment vertical="center"/>
    </xf>
    <xf numFmtId="195" fontId="6" fillId="0" borderId="68" xfId="48" applyNumberFormat="1" applyFont="1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195" fontId="6" fillId="0" borderId="42" xfId="48" applyNumberFormat="1" applyFont="1" applyBorder="1" applyAlignment="1">
      <alignment horizontal="right" vertical="center"/>
    </xf>
    <xf numFmtId="195" fontId="2" fillId="0" borderId="42" xfId="48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195" fontId="8" fillId="0" borderId="75" xfId="48" applyNumberFormat="1" applyFont="1" applyFill="1" applyBorder="1" applyAlignment="1">
      <alignment vertical="center"/>
    </xf>
    <xf numFmtId="195" fontId="8" fillId="0" borderId="76" xfId="48" applyNumberFormat="1" applyFont="1" applyFill="1" applyBorder="1" applyAlignment="1">
      <alignment vertical="center"/>
    </xf>
    <xf numFmtId="193" fontId="2" fillId="0" borderId="68" xfId="48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 wrapText="1"/>
    </xf>
    <xf numFmtId="41" fontId="8" fillId="0" borderId="45" xfId="48" applyFont="1" applyBorder="1" applyAlignment="1">
      <alignment horizontal="center" vertical="center"/>
    </xf>
    <xf numFmtId="41" fontId="16" fillId="0" borderId="37" xfId="48" applyFont="1" applyBorder="1" applyAlignment="1">
      <alignment horizontal="center" vertical="center"/>
    </xf>
    <xf numFmtId="41" fontId="16" fillId="0" borderId="45" xfId="48" applyFont="1" applyBorder="1" applyAlignment="1">
      <alignment horizontal="center" vertical="center"/>
    </xf>
    <xf numFmtId="193" fontId="14" fillId="0" borderId="45" xfId="48" applyNumberFormat="1" applyFont="1" applyFill="1" applyBorder="1" applyAlignment="1">
      <alignment horizontal="right" vertical="center"/>
    </xf>
    <xf numFmtId="41" fontId="8" fillId="0" borderId="71" xfId="48" applyFont="1" applyBorder="1" applyAlignment="1">
      <alignment vertical="center"/>
    </xf>
    <xf numFmtId="0" fontId="13" fillId="0" borderId="23" xfId="0" applyFont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center" vertical="center"/>
    </xf>
    <xf numFmtId="193" fontId="6" fillId="0" borderId="43" xfId="48" applyNumberFormat="1" applyFont="1" applyBorder="1" applyAlignment="1">
      <alignment vertical="center"/>
    </xf>
    <xf numFmtId="193" fontId="6" fillId="0" borderId="43" xfId="48" applyNumberFormat="1" applyFont="1" applyBorder="1" applyAlignment="1">
      <alignment horizontal="right" vertical="center" wrapText="1"/>
    </xf>
    <xf numFmtId="193" fontId="22" fillId="0" borderId="77" xfId="48" applyNumberFormat="1" applyFont="1" applyFill="1" applyBorder="1" applyAlignment="1">
      <alignment horizontal="right" vertical="center"/>
    </xf>
    <xf numFmtId="41" fontId="8" fillId="0" borderId="30" xfId="48" applyFont="1" applyBorder="1" applyAlignment="1">
      <alignment vertical="center"/>
    </xf>
    <xf numFmtId="193" fontId="14" fillId="0" borderId="12" xfId="48" applyNumberFormat="1" applyFont="1" applyFill="1" applyBorder="1" applyAlignment="1">
      <alignment horizontal="right" vertical="center"/>
    </xf>
    <xf numFmtId="195" fontId="6" fillId="0" borderId="30" xfId="48" applyNumberFormat="1" applyFont="1" applyFill="1" applyBorder="1" applyAlignment="1">
      <alignment vertical="center"/>
    </xf>
    <xf numFmtId="0" fontId="6" fillId="0" borderId="53" xfId="0" applyFont="1" applyBorder="1" applyAlignment="1">
      <alignment vertical="center"/>
    </xf>
    <xf numFmtId="200" fontId="6" fillId="0" borderId="11" xfId="48" applyNumberFormat="1" applyFont="1" applyBorder="1" applyAlignment="1">
      <alignment vertical="center"/>
    </xf>
    <xf numFmtId="200" fontId="6" fillId="0" borderId="43" xfId="48" applyNumberFormat="1" applyFont="1" applyBorder="1" applyAlignment="1">
      <alignment vertical="center"/>
    </xf>
    <xf numFmtId="193" fontId="6" fillId="0" borderId="0" xfId="48" applyNumberFormat="1" applyFont="1" applyBorder="1" applyAlignment="1">
      <alignment vertical="center"/>
    </xf>
    <xf numFmtId="193" fontId="0" fillId="0" borderId="0" xfId="48" applyNumberFormat="1" applyFont="1" applyFill="1" applyBorder="1" applyAlignment="1">
      <alignment horizontal="right" vertical="center"/>
    </xf>
    <xf numFmtId="193" fontId="0" fillId="0" borderId="68" xfId="48" applyNumberFormat="1" applyFont="1" applyFill="1" applyBorder="1" applyAlignment="1">
      <alignment horizontal="right" vertical="center"/>
    </xf>
    <xf numFmtId="41" fontId="6" fillId="0" borderId="45" xfId="48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1" fontId="6" fillId="0" borderId="71" xfId="48" applyFont="1" applyBorder="1" applyAlignment="1">
      <alignment vertical="center"/>
    </xf>
    <xf numFmtId="41" fontId="6" fillId="0" borderId="45" xfId="48" applyFont="1" applyBorder="1" applyAlignment="1">
      <alignment vertical="center"/>
    </xf>
    <xf numFmtId="0" fontId="6" fillId="0" borderId="73" xfId="0" applyFont="1" applyBorder="1" applyAlignment="1">
      <alignment horizontal="center" vertical="center"/>
    </xf>
    <xf numFmtId="41" fontId="6" fillId="0" borderId="78" xfId="48" applyFont="1" applyBorder="1" applyAlignment="1">
      <alignment vertical="center"/>
    </xf>
    <xf numFmtId="41" fontId="6" fillId="0" borderId="68" xfId="48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193" fontId="2" fillId="0" borderId="45" xfId="48" applyNumberFormat="1" applyFont="1" applyBorder="1" applyAlignment="1">
      <alignment horizontal="center" vertical="center"/>
    </xf>
    <xf numFmtId="0" fontId="10" fillId="0" borderId="72" xfId="0" applyFont="1" applyBorder="1" applyAlignment="1">
      <alignment horizontal="justify" vertical="center" wrapText="1"/>
    </xf>
    <xf numFmtId="0" fontId="8" fillId="0" borderId="55" xfId="0" applyFont="1" applyBorder="1" applyAlignment="1">
      <alignment horizontal="center" vertical="center"/>
    </xf>
    <xf numFmtId="41" fontId="8" fillId="0" borderId="79" xfId="48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justify" vertical="center" wrapText="1"/>
    </xf>
    <xf numFmtId="41" fontId="12" fillId="0" borderId="80" xfId="48" applyFont="1" applyFill="1" applyBorder="1" applyAlignment="1">
      <alignment horizontal="left" vertical="center" wrapText="1"/>
    </xf>
    <xf numFmtId="0" fontId="13" fillId="0" borderId="81" xfId="0" applyFont="1" applyBorder="1" applyAlignment="1">
      <alignment vertical="center"/>
    </xf>
    <xf numFmtId="0" fontId="10" fillId="0" borderId="67" xfId="0" applyFont="1" applyBorder="1" applyAlignment="1">
      <alignment horizontal="left" vertical="center" wrapText="1"/>
    </xf>
    <xf numFmtId="41" fontId="12" fillId="0" borderId="55" xfId="48" applyFont="1" applyFill="1" applyBorder="1" applyAlignment="1">
      <alignment horizontal="left" vertical="center"/>
    </xf>
    <xf numFmtId="41" fontId="12" fillId="0" borderId="32" xfId="48" applyFont="1" applyFill="1" applyBorder="1" applyAlignment="1">
      <alignment horizontal="left" vertical="center"/>
    </xf>
    <xf numFmtId="41" fontId="12" fillId="0" borderId="24" xfId="48" applyFont="1" applyFill="1" applyBorder="1" applyAlignment="1">
      <alignment horizontal="left" vertical="center"/>
    </xf>
    <xf numFmtId="41" fontId="12" fillId="0" borderId="23" xfId="48" applyFont="1" applyFill="1" applyBorder="1" applyAlignment="1">
      <alignment horizontal="left" vertical="center"/>
    </xf>
    <xf numFmtId="41" fontId="12" fillId="0" borderId="80" xfId="48" applyFont="1" applyFill="1" applyBorder="1" applyAlignment="1">
      <alignment horizontal="left" vertical="center"/>
    </xf>
    <xf numFmtId="41" fontId="12" fillId="0" borderId="19" xfId="48" applyFont="1" applyFill="1" applyBorder="1" applyAlignment="1">
      <alignment horizontal="left" vertical="center"/>
    </xf>
    <xf numFmtId="41" fontId="12" fillId="0" borderId="66" xfId="48" applyNumberFormat="1" applyFont="1" applyFill="1" applyBorder="1" applyAlignment="1">
      <alignment horizontal="left" vertical="center" wrapText="1"/>
    </xf>
    <xf numFmtId="41" fontId="12" fillId="0" borderId="44" xfId="48" applyFont="1" applyFill="1" applyBorder="1" applyAlignment="1">
      <alignment horizontal="left" vertical="center" wrapText="1"/>
    </xf>
    <xf numFmtId="0" fontId="31" fillId="0" borderId="18" xfId="0" applyFont="1" applyBorder="1" applyAlignment="1">
      <alignment vertical="center" wrapText="1"/>
    </xf>
    <xf numFmtId="41" fontId="12" fillId="0" borderId="72" xfId="48" applyFont="1" applyFill="1" applyBorder="1" applyAlignment="1">
      <alignment horizontal="left" vertical="center"/>
    </xf>
    <xf numFmtId="41" fontId="12" fillId="0" borderId="28" xfId="48" applyFont="1" applyFill="1" applyBorder="1" applyAlignment="1">
      <alignment horizontal="left" vertical="center"/>
    </xf>
    <xf numFmtId="0" fontId="12" fillId="0" borderId="28" xfId="0" applyFont="1" applyBorder="1" applyAlignment="1">
      <alignment vertical="center"/>
    </xf>
    <xf numFmtId="41" fontId="12" fillId="0" borderId="57" xfId="48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34" xfId="0" applyFont="1" applyBorder="1" applyAlignment="1">
      <alignment vertical="center"/>
    </xf>
    <xf numFmtId="41" fontId="7" fillId="0" borderId="0" xfId="48" applyFont="1" applyAlignment="1">
      <alignment vertical="center"/>
    </xf>
    <xf numFmtId="193" fontId="2" fillId="0" borderId="13" xfId="48" applyNumberFormat="1" applyFont="1" applyBorder="1" applyAlignment="1">
      <alignment horizontal="right" vertical="center"/>
    </xf>
    <xf numFmtId="43" fontId="7" fillId="0" borderId="0" xfId="0" applyNumberFormat="1" applyFont="1" applyAlignment="1">
      <alignment vertical="center"/>
    </xf>
    <xf numFmtId="41" fontId="12" fillId="0" borderId="63" xfId="48" applyFont="1" applyFill="1" applyBorder="1" applyAlignment="1">
      <alignment horizontal="left" vertical="center" wrapText="1"/>
    </xf>
    <xf numFmtId="193" fontId="6" fillId="0" borderId="45" xfId="48" applyNumberFormat="1" applyFont="1" applyBorder="1" applyAlignment="1">
      <alignment vertical="center"/>
    </xf>
    <xf numFmtId="0" fontId="15" fillId="0" borderId="15" xfId="0" applyFont="1" applyFill="1" applyBorder="1" applyAlignment="1">
      <alignment horizontal="center" vertical="center" wrapText="1"/>
    </xf>
    <xf numFmtId="195" fontId="2" fillId="0" borderId="68" xfId="0" applyNumberFormat="1" applyFont="1" applyFill="1" applyBorder="1" applyAlignment="1">
      <alignment horizontal="right" vertical="center"/>
    </xf>
    <xf numFmtId="195" fontId="6" fillId="0" borderId="82" xfId="48" applyNumberFormat="1" applyFont="1" applyFill="1" applyBorder="1" applyAlignment="1">
      <alignment vertical="center"/>
    </xf>
    <xf numFmtId="195" fontId="6" fillId="0" borderId="83" xfId="48" applyNumberFormat="1" applyFont="1" applyFill="1" applyBorder="1" applyAlignment="1">
      <alignment vertical="center"/>
    </xf>
    <xf numFmtId="0" fontId="30" fillId="0" borderId="5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94" fontId="25" fillId="0" borderId="58" xfId="0" applyNumberFormat="1" applyFont="1" applyBorder="1" applyAlignment="1">
      <alignment horizontal="center" vertical="center"/>
    </xf>
    <xf numFmtId="194" fontId="25" fillId="0" borderId="77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8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6" fillId="0" borderId="9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20" fillId="0" borderId="95" xfId="0" applyFont="1" applyFill="1" applyBorder="1" applyAlignment="1">
      <alignment horizontal="center" vertical="center"/>
    </xf>
    <xf numFmtId="0" fontId="24" fillId="0" borderId="34" xfId="0" applyFont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95" fontId="2" fillId="0" borderId="96" xfId="0" applyNumberFormat="1" applyFont="1" applyFill="1" applyBorder="1" applyAlignment="1">
      <alignment horizontal="center" vertical="center" wrapText="1"/>
    </xf>
    <xf numFmtId="195" fontId="2" fillId="0" borderId="71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6" fillId="0" borderId="68" xfId="48" applyFont="1" applyBorder="1" applyAlignment="1">
      <alignment horizontal="center" vertical="center"/>
    </xf>
    <xf numFmtId="41" fontId="6" fillId="0" borderId="13" xfId="48" applyFont="1" applyBorder="1" applyAlignment="1">
      <alignment horizontal="center" vertical="center"/>
    </xf>
    <xf numFmtId="193" fontId="0" fillId="0" borderId="68" xfId="48" applyNumberFormat="1" applyFont="1" applyFill="1" applyBorder="1" applyAlignment="1">
      <alignment horizontal="center" vertical="center"/>
    </xf>
    <xf numFmtId="193" fontId="0" fillId="0" borderId="13" xfId="48" applyNumberFormat="1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12" fillId="0" borderId="7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193" fontId="0" fillId="0" borderId="68" xfId="48" applyNumberFormat="1" applyFont="1" applyFill="1" applyBorder="1" applyAlignment="1">
      <alignment horizontal="right" vertical="center"/>
    </xf>
    <xf numFmtId="193" fontId="0" fillId="0" borderId="13" xfId="48" applyNumberFormat="1" applyFont="1" applyFill="1" applyBorder="1" applyAlignment="1">
      <alignment horizontal="right" vertical="center"/>
    </xf>
    <xf numFmtId="41" fontId="6" fillId="0" borderId="42" xfId="48" applyFont="1" applyBorder="1" applyAlignment="1">
      <alignment horizontal="center" vertical="center"/>
    </xf>
    <xf numFmtId="41" fontId="6" fillId="0" borderId="45" xfId="48" applyFont="1" applyBorder="1" applyAlignment="1">
      <alignment horizontal="center" vertical="center"/>
    </xf>
    <xf numFmtId="193" fontId="0" fillId="0" borderId="42" xfId="48" applyNumberFormat="1" applyFont="1" applyFill="1" applyBorder="1" applyAlignment="1">
      <alignment horizontal="right" vertical="center"/>
    </xf>
    <xf numFmtId="193" fontId="0" fillId="0" borderId="45" xfId="48" applyNumberFormat="1" applyFont="1" applyFill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" y="2543175"/>
          <a:ext cx="590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2543175"/>
          <a:ext cx="590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" name="Rectangle 1"/>
        <xdr:cNvSpPr>
          <a:spLocks/>
        </xdr:cNvSpPr>
      </xdr:nvSpPr>
      <xdr:spPr>
        <a:xfrm>
          <a:off x="552450" y="2543175"/>
          <a:ext cx="590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" name="Rectangle 2"/>
        <xdr:cNvSpPr>
          <a:spLocks/>
        </xdr:cNvSpPr>
      </xdr:nvSpPr>
      <xdr:spPr>
        <a:xfrm>
          <a:off x="552450" y="2543175"/>
          <a:ext cx="590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5" name="Rectangle 1"/>
        <xdr:cNvSpPr>
          <a:spLocks/>
        </xdr:cNvSpPr>
      </xdr:nvSpPr>
      <xdr:spPr>
        <a:xfrm>
          <a:off x="1143000" y="2543175"/>
          <a:ext cx="809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076325" y="132397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076325" y="132397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76325" y="132397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76325" y="132397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36"/>
  <sheetViews>
    <sheetView zoomScalePageLayoutView="0" workbookViewId="0" topLeftCell="A1">
      <selection activeCell="K7" sqref="K7"/>
    </sheetView>
  </sheetViews>
  <sheetFormatPr defaultColWidth="8.88671875" defaultRowHeight="13.5"/>
  <cols>
    <col min="1" max="1" width="3.77734375" style="0" customWidth="1"/>
    <col min="2" max="7" width="9.5546875" style="0" customWidth="1"/>
    <col min="8" max="8" width="11.10546875" style="0" customWidth="1"/>
    <col min="9" max="9" width="3.77734375" style="0" customWidth="1"/>
  </cols>
  <sheetData>
    <row r="3" ht="14.25" thickBot="1"/>
    <row r="4" spans="2:10" ht="13.5">
      <c r="B4" s="133"/>
      <c r="C4" s="134"/>
      <c r="D4" s="134"/>
      <c r="E4" s="134"/>
      <c r="F4" s="134"/>
      <c r="G4" s="134"/>
      <c r="H4" s="135"/>
      <c r="I4" s="29"/>
      <c r="J4" s="29"/>
    </row>
    <row r="5" spans="2:10" ht="13.5">
      <c r="B5" s="136"/>
      <c r="C5" s="29"/>
      <c r="D5" s="29"/>
      <c r="E5" s="29"/>
      <c r="F5" s="29"/>
      <c r="H5" s="137"/>
      <c r="I5" s="29"/>
      <c r="J5" s="29"/>
    </row>
    <row r="6" spans="2:10" ht="71.25" customHeight="1">
      <c r="B6" s="136"/>
      <c r="C6" s="29"/>
      <c r="D6" s="29"/>
      <c r="E6" s="29"/>
      <c r="F6" s="29"/>
      <c r="G6" s="29"/>
      <c r="H6" s="137"/>
      <c r="I6" s="29"/>
      <c r="J6" s="29"/>
    </row>
    <row r="7" spans="2:10" ht="13.5">
      <c r="B7" s="136"/>
      <c r="C7" s="29"/>
      <c r="D7" s="29"/>
      <c r="E7" s="29"/>
      <c r="F7" s="29"/>
      <c r="G7" s="29"/>
      <c r="H7" s="137"/>
      <c r="I7" s="29"/>
      <c r="J7" s="29"/>
    </row>
    <row r="8" spans="2:10" ht="13.5">
      <c r="B8" s="136"/>
      <c r="C8" s="29"/>
      <c r="D8" s="29"/>
      <c r="E8" s="29"/>
      <c r="F8" s="29"/>
      <c r="G8" s="29"/>
      <c r="H8" s="137"/>
      <c r="I8" s="29"/>
      <c r="J8" s="29"/>
    </row>
    <row r="9" spans="2:10" ht="25.5">
      <c r="B9" s="292" t="s">
        <v>176</v>
      </c>
      <c r="C9" s="293"/>
      <c r="D9" s="293"/>
      <c r="E9" s="293"/>
      <c r="F9" s="293"/>
      <c r="G9" s="293"/>
      <c r="H9" s="294"/>
      <c r="I9" s="142"/>
      <c r="J9" s="142"/>
    </row>
    <row r="10" spans="2:10" ht="13.5">
      <c r="B10" s="136"/>
      <c r="C10" s="29"/>
      <c r="D10" s="29"/>
      <c r="E10" s="29"/>
      <c r="F10" s="29"/>
      <c r="G10" s="29"/>
      <c r="H10" s="137"/>
      <c r="I10" s="29"/>
      <c r="J10" s="29"/>
    </row>
    <row r="11" spans="2:10" ht="13.5">
      <c r="B11" s="136"/>
      <c r="C11" s="29"/>
      <c r="D11" s="29"/>
      <c r="E11" s="29"/>
      <c r="F11" s="29"/>
      <c r="G11" s="29"/>
      <c r="H11" s="137"/>
      <c r="I11" s="29"/>
      <c r="J11" s="29"/>
    </row>
    <row r="12" spans="2:10" ht="13.5">
      <c r="B12" s="136"/>
      <c r="C12" s="29"/>
      <c r="D12" s="29"/>
      <c r="E12" s="29"/>
      <c r="F12" s="29"/>
      <c r="G12" s="29"/>
      <c r="H12" s="137"/>
      <c r="I12" s="29"/>
      <c r="J12" s="29"/>
    </row>
    <row r="13" spans="2:10" ht="13.5">
      <c r="B13" s="136"/>
      <c r="C13" s="29"/>
      <c r="D13" s="29"/>
      <c r="E13" s="29"/>
      <c r="F13" s="29"/>
      <c r="G13" s="29"/>
      <c r="H13" s="137"/>
      <c r="I13" s="29"/>
      <c r="J13" s="29"/>
    </row>
    <row r="14" spans="2:10" ht="13.5">
      <c r="B14" s="136"/>
      <c r="C14" s="29"/>
      <c r="D14" s="29"/>
      <c r="E14" s="29"/>
      <c r="F14" s="29"/>
      <c r="G14" s="29"/>
      <c r="H14" s="137"/>
      <c r="I14" s="29"/>
      <c r="J14" s="29"/>
    </row>
    <row r="15" spans="2:10" ht="13.5">
      <c r="B15" s="136"/>
      <c r="C15" s="29"/>
      <c r="D15" s="29"/>
      <c r="E15" s="29"/>
      <c r="F15" s="29"/>
      <c r="G15" s="29"/>
      <c r="H15" s="137"/>
      <c r="I15" s="29"/>
      <c r="J15" s="29"/>
    </row>
    <row r="16" spans="2:10" ht="13.5">
      <c r="B16" s="136"/>
      <c r="C16" s="29"/>
      <c r="D16" s="29"/>
      <c r="E16" s="29"/>
      <c r="F16" s="29"/>
      <c r="G16" s="29"/>
      <c r="H16" s="137"/>
      <c r="I16" s="29"/>
      <c r="J16" s="29"/>
    </row>
    <row r="17" spans="2:10" ht="13.5">
      <c r="B17" s="136"/>
      <c r="C17" s="29"/>
      <c r="D17" s="29"/>
      <c r="E17" s="29"/>
      <c r="F17" s="29"/>
      <c r="G17" s="29"/>
      <c r="H17" s="137"/>
      <c r="I17" s="29"/>
      <c r="J17" s="29"/>
    </row>
    <row r="18" spans="2:10" ht="13.5">
      <c r="B18" s="136"/>
      <c r="C18" s="29"/>
      <c r="D18" s="29"/>
      <c r="E18" s="29"/>
      <c r="F18" s="29"/>
      <c r="G18" s="29"/>
      <c r="H18" s="137"/>
      <c r="I18" s="29"/>
      <c r="J18" s="29"/>
    </row>
    <row r="19" spans="2:10" ht="13.5">
      <c r="B19" s="136"/>
      <c r="C19" s="29"/>
      <c r="D19" s="29"/>
      <c r="E19" s="29"/>
      <c r="F19" s="29"/>
      <c r="G19" s="29"/>
      <c r="H19" s="137"/>
      <c r="I19" s="29"/>
      <c r="J19" s="29"/>
    </row>
    <row r="20" spans="2:10" ht="2.25" customHeight="1">
      <c r="B20" s="136"/>
      <c r="C20" s="29"/>
      <c r="D20" s="29"/>
      <c r="E20" s="29"/>
      <c r="F20" s="29"/>
      <c r="G20" s="29"/>
      <c r="H20" s="137"/>
      <c r="I20" s="29"/>
      <c r="J20" s="29"/>
    </row>
    <row r="21" spans="2:10" ht="135" customHeight="1">
      <c r="B21" s="136"/>
      <c r="C21" s="29"/>
      <c r="D21" s="29"/>
      <c r="E21" s="29"/>
      <c r="F21" s="29"/>
      <c r="G21" s="29"/>
      <c r="H21" s="137"/>
      <c r="I21" s="29"/>
      <c r="J21" s="29"/>
    </row>
    <row r="22" spans="2:10" ht="13.5">
      <c r="B22" s="136"/>
      <c r="C22" s="29"/>
      <c r="D22" s="29"/>
      <c r="E22" s="29"/>
      <c r="F22" s="29"/>
      <c r="G22" s="29"/>
      <c r="H22" s="137"/>
      <c r="I22" s="29"/>
      <c r="J22" s="29"/>
    </row>
    <row r="23" spans="2:10" ht="13.5">
      <c r="B23" s="136"/>
      <c r="C23" s="29"/>
      <c r="D23" s="29"/>
      <c r="E23" s="29"/>
      <c r="F23" s="29"/>
      <c r="G23" s="29"/>
      <c r="H23" s="137"/>
      <c r="I23" s="29"/>
      <c r="J23" s="29"/>
    </row>
    <row r="24" spans="2:10" ht="13.5">
      <c r="B24" s="136"/>
      <c r="C24" s="29"/>
      <c r="D24" s="29"/>
      <c r="E24" s="29"/>
      <c r="F24" s="29"/>
      <c r="G24" s="29"/>
      <c r="H24" s="137"/>
      <c r="I24" s="29"/>
      <c r="J24" s="29"/>
    </row>
    <row r="25" spans="2:10" ht="13.5">
      <c r="B25" s="136"/>
      <c r="C25" s="29"/>
      <c r="D25" s="29"/>
      <c r="E25" s="29"/>
      <c r="F25" s="29"/>
      <c r="G25" s="29"/>
      <c r="H25" s="137"/>
      <c r="I25" s="29"/>
      <c r="J25" s="29"/>
    </row>
    <row r="26" spans="2:10" ht="13.5">
      <c r="B26" s="136"/>
      <c r="C26" s="29"/>
      <c r="D26" s="29"/>
      <c r="E26" s="29"/>
      <c r="F26" s="29"/>
      <c r="G26" s="29"/>
      <c r="H26" s="137"/>
      <c r="I26" s="29"/>
      <c r="J26" s="29"/>
    </row>
    <row r="27" spans="2:10" ht="13.5">
      <c r="B27" s="136"/>
      <c r="C27" s="29"/>
      <c r="D27" s="29"/>
      <c r="E27" s="29"/>
      <c r="F27" s="29"/>
      <c r="G27" s="29"/>
      <c r="H27" s="137"/>
      <c r="I27" s="29"/>
      <c r="J27" s="29"/>
    </row>
    <row r="28" spans="2:10" ht="13.5">
      <c r="B28" s="136"/>
      <c r="C28" s="29"/>
      <c r="D28" s="29"/>
      <c r="E28" s="29"/>
      <c r="F28" s="29"/>
      <c r="G28" s="29"/>
      <c r="H28" s="137"/>
      <c r="I28" s="29"/>
      <c r="J28" s="29"/>
    </row>
    <row r="29" spans="2:10" ht="13.5">
      <c r="B29" s="136"/>
      <c r="C29" s="29"/>
      <c r="D29" s="29"/>
      <c r="E29" s="29"/>
      <c r="F29" s="29"/>
      <c r="G29" s="29"/>
      <c r="H29" s="137"/>
      <c r="I29" s="29"/>
      <c r="J29" s="29"/>
    </row>
    <row r="30" spans="2:10" ht="13.5">
      <c r="B30" s="136"/>
      <c r="C30" s="29"/>
      <c r="D30" s="29"/>
      <c r="E30" s="29"/>
      <c r="F30" s="29"/>
      <c r="G30" s="29"/>
      <c r="H30" s="137"/>
      <c r="I30" s="29"/>
      <c r="J30" s="29"/>
    </row>
    <row r="31" spans="2:10" ht="13.5">
      <c r="B31" s="136"/>
      <c r="C31" s="29"/>
      <c r="D31" s="29"/>
      <c r="E31" s="29"/>
      <c r="F31" s="29"/>
      <c r="G31" s="29"/>
      <c r="H31" s="137"/>
      <c r="I31" s="29"/>
      <c r="J31" s="29"/>
    </row>
    <row r="32" spans="2:10" ht="13.5">
      <c r="B32" s="136"/>
      <c r="C32" s="29"/>
      <c r="D32" s="29"/>
      <c r="E32" s="29"/>
      <c r="F32" s="29"/>
      <c r="G32" s="29"/>
      <c r="H32" s="137"/>
      <c r="I32" s="29"/>
      <c r="J32" s="29"/>
    </row>
    <row r="33" spans="2:10" ht="27">
      <c r="B33" s="295" t="s">
        <v>79</v>
      </c>
      <c r="C33" s="296"/>
      <c r="D33" s="296"/>
      <c r="E33" s="296"/>
      <c r="F33" s="296"/>
      <c r="G33" s="296"/>
      <c r="H33" s="297"/>
      <c r="I33" s="141"/>
      <c r="J33" s="141"/>
    </row>
    <row r="34" spans="2:10" ht="31.5" customHeight="1">
      <c r="B34" s="136"/>
      <c r="C34" s="298" t="s">
        <v>168</v>
      </c>
      <c r="D34" s="298"/>
      <c r="E34" s="298"/>
      <c r="F34" s="298"/>
      <c r="G34" s="298"/>
      <c r="H34" s="137"/>
      <c r="I34" s="29"/>
      <c r="J34" s="29"/>
    </row>
    <row r="35" spans="2:10" ht="13.5">
      <c r="B35" s="136"/>
      <c r="C35" s="29"/>
      <c r="D35" s="29"/>
      <c r="E35" s="29"/>
      <c r="F35" s="29"/>
      <c r="G35" s="29"/>
      <c r="H35" s="137"/>
      <c r="I35" s="29"/>
      <c r="J35" s="29"/>
    </row>
    <row r="36" spans="2:10" ht="14.25" thickBot="1">
      <c r="B36" s="138"/>
      <c r="C36" s="139"/>
      <c r="D36" s="139"/>
      <c r="E36" s="139"/>
      <c r="F36" s="139"/>
      <c r="G36" s="139"/>
      <c r="H36" s="140"/>
      <c r="I36" s="29"/>
      <c r="J36" s="29"/>
    </row>
  </sheetData>
  <sheetProtection/>
  <mergeCells count="3">
    <mergeCell ref="B9:H9"/>
    <mergeCell ref="B33:H33"/>
    <mergeCell ref="C34:G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K32"/>
  <sheetViews>
    <sheetView zoomScale="80" zoomScaleNormal="80" zoomScalePageLayoutView="0" workbookViewId="0" topLeftCell="A1">
      <selection activeCell="A1" sqref="A1:F24"/>
    </sheetView>
  </sheetViews>
  <sheetFormatPr defaultColWidth="8.88671875" defaultRowHeight="13.5"/>
  <cols>
    <col min="1" max="1" width="3.21484375" style="0" customWidth="1"/>
    <col min="2" max="2" width="5.99609375" style="0" customWidth="1"/>
    <col min="3" max="3" width="16.99609375" style="0" customWidth="1"/>
    <col min="4" max="6" width="25.77734375" style="0" customWidth="1"/>
    <col min="7" max="7" width="2.77734375" style="0" customWidth="1"/>
    <col min="8" max="8" width="16.99609375" style="0" customWidth="1"/>
    <col min="11" max="11" width="16.5546875" style="0" bestFit="1" customWidth="1"/>
  </cols>
  <sheetData>
    <row r="1" ht="24.75" customHeight="1"/>
    <row r="2" spans="1:8" ht="35.25" customHeight="1">
      <c r="A2" s="223"/>
      <c r="B2" s="299" t="s">
        <v>169</v>
      </c>
      <c r="C2" s="299"/>
      <c r="D2" s="299"/>
      <c r="E2" s="299"/>
      <c r="F2" s="299"/>
      <c r="G2" s="223"/>
      <c r="H2" s="38"/>
    </row>
    <row r="3" spans="2:8" ht="24.75" customHeight="1">
      <c r="B3" s="98"/>
      <c r="C3" s="99"/>
      <c r="D3" s="99"/>
      <c r="E3" s="99"/>
      <c r="F3" s="99"/>
      <c r="G3" s="99"/>
      <c r="H3" s="38"/>
    </row>
    <row r="4" spans="2:7" ht="30" customHeight="1" thickBot="1">
      <c r="B4" s="100" t="s">
        <v>40</v>
      </c>
      <c r="C4" s="11"/>
      <c r="D4" s="11"/>
      <c r="E4" s="11"/>
      <c r="F4" s="101" t="s">
        <v>38</v>
      </c>
      <c r="G4" s="101"/>
    </row>
    <row r="5" spans="2:9" ht="39.75" customHeight="1" thickTop="1">
      <c r="B5" s="300" t="s">
        <v>46</v>
      </c>
      <c r="C5" s="301"/>
      <c r="D5" s="310" t="s">
        <v>20</v>
      </c>
      <c r="E5" s="310" t="s">
        <v>170</v>
      </c>
      <c r="F5" s="312" t="s">
        <v>47</v>
      </c>
      <c r="G5" s="118"/>
      <c r="H5" s="38"/>
      <c r="I5" s="64"/>
    </row>
    <row r="6" spans="2:9" ht="30" customHeight="1" thickBot="1">
      <c r="B6" s="302"/>
      <c r="C6" s="303"/>
      <c r="D6" s="311"/>
      <c r="E6" s="311"/>
      <c r="F6" s="313"/>
      <c r="G6" s="118"/>
      <c r="I6" s="64"/>
    </row>
    <row r="7" spans="2:9" ht="46.5" customHeight="1" thickBot="1" thickTop="1">
      <c r="B7" s="304" t="s">
        <v>48</v>
      </c>
      <c r="C7" s="126" t="s">
        <v>49</v>
      </c>
      <c r="D7" s="127">
        <f>SUM(D8:D15)</f>
        <v>1134875827</v>
      </c>
      <c r="E7" s="127">
        <f>SUM(E8:E15)</f>
        <v>1137306160</v>
      </c>
      <c r="F7" s="116">
        <f aca="true" t="shared" si="0" ref="F7:F13">E7-D7</f>
        <v>2430333</v>
      </c>
      <c r="G7" s="119"/>
      <c r="H7" s="66">
        <f>H8+H9+H10+H11+H12+H13+H14+H15</f>
        <v>2430333</v>
      </c>
      <c r="I7" s="106">
        <f>H7/D7</f>
        <v>0.00214149684236776</v>
      </c>
    </row>
    <row r="8" spans="2:9" ht="42.75" customHeight="1" thickTop="1">
      <c r="B8" s="305"/>
      <c r="C8" s="117" t="s">
        <v>113</v>
      </c>
      <c r="D8" s="111">
        <f>'2019년세입결산'!E6</f>
        <v>65974200</v>
      </c>
      <c r="E8" s="111">
        <f>'2019년세입결산'!F6</f>
        <v>68139360</v>
      </c>
      <c r="F8" s="174">
        <f t="shared" si="0"/>
        <v>2165160</v>
      </c>
      <c r="G8" s="119"/>
      <c r="H8" s="38">
        <f>E8-D8</f>
        <v>2165160</v>
      </c>
      <c r="I8" s="64">
        <f>H8/D8</f>
        <v>0.03281828351082696</v>
      </c>
    </row>
    <row r="9" spans="2:9" ht="42.75" customHeight="1">
      <c r="B9" s="305"/>
      <c r="C9" s="102" t="s">
        <v>72</v>
      </c>
      <c r="D9" s="112">
        <f>'2019년세입결산'!E9</f>
        <v>93561680</v>
      </c>
      <c r="E9" s="112">
        <f>'2019년세입결산'!F9</f>
        <v>93561680</v>
      </c>
      <c r="F9" s="176">
        <f t="shared" si="0"/>
        <v>0</v>
      </c>
      <c r="G9" s="119"/>
      <c r="H9" s="38">
        <f>E9-D9</f>
        <v>0</v>
      </c>
      <c r="I9" s="64">
        <f>F9/D9</f>
        <v>0</v>
      </c>
    </row>
    <row r="10" spans="2:11" ht="42.75" customHeight="1">
      <c r="B10" s="305"/>
      <c r="C10" s="103" t="s">
        <v>76</v>
      </c>
      <c r="D10" s="113">
        <f>'2019년세입결산'!E12</f>
        <v>2243700</v>
      </c>
      <c r="E10" s="113">
        <f>'2019년세입결산'!F12</f>
        <v>2658700</v>
      </c>
      <c r="F10" s="176">
        <f t="shared" si="0"/>
        <v>415000</v>
      </c>
      <c r="G10" s="119"/>
      <c r="H10" s="38">
        <f>E10-D10</f>
        <v>415000</v>
      </c>
      <c r="I10" s="64">
        <f>H10/D10</f>
        <v>0.1849623389936266</v>
      </c>
      <c r="K10" s="62"/>
    </row>
    <row r="11" spans="2:9" ht="42.75" customHeight="1">
      <c r="B11" s="305"/>
      <c r="C11" s="104" t="s">
        <v>74</v>
      </c>
      <c r="D11" s="113">
        <f>'2019년세입결산'!E16</f>
        <v>784843660</v>
      </c>
      <c r="E11" s="113">
        <f>'2019년세입결산'!F16</f>
        <v>784843660</v>
      </c>
      <c r="F11" s="176">
        <f t="shared" si="0"/>
        <v>0</v>
      </c>
      <c r="G11" s="119"/>
      <c r="H11" s="38">
        <f>E11-D11</f>
        <v>0</v>
      </c>
      <c r="I11" s="64">
        <f>H11/D11</f>
        <v>0</v>
      </c>
    </row>
    <row r="12" spans="2:9" ht="42.75" customHeight="1">
      <c r="B12" s="305"/>
      <c r="C12" s="104" t="s">
        <v>100</v>
      </c>
      <c r="D12" s="155">
        <f>'2019년세입결산'!E17</f>
        <v>8750000</v>
      </c>
      <c r="E12" s="109">
        <f>'2019년세입결산'!F18</f>
        <v>8750000</v>
      </c>
      <c r="F12" s="176">
        <f t="shared" si="0"/>
        <v>0</v>
      </c>
      <c r="G12" s="119"/>
      <c r="H12" s="38">
        <f aca="true" t="shared" si="1" ref="H12:H24">E12-D12</f>
        <v>0</v>
      </c>
      <c r="I12" s="64">
        <f>H12/D12</f>
        <v>0</v>
      </c>
    </row>
    <row r="13" spans="2:9" ht="42.75" customHeight="1">
      <c r="B13" s="305"/>
      <c r="C13" s="103" t="s">
        <v>75</v>
      </c>
      <c r="D13" s="113">
        <f>'2019년세입결산'!E21</f>
        <v>100897077</v>
      </c>
      <c r="E13" s="113">
        <f>'2019년세입결산'!F21</f>
        <v>100897077</v>
      </c>
      <c r="F13" s="176">
        <f t="shared" si="0"/>
        <v>0</v>
      </c>
      <c r="G13" s="119"/>
      <c r="H13" s="38">
        <f t="shared" si="1"/>
        <v>0</v>
      </c>
      <c r="I13" s="64">
        <f aca="true" t="shared" si="2" ref="I13:I23">H13/D13</f>
        <v>0</v>
      </c>
    </row>
    <row r="14" spans="2:9" ht="42.75" customHeight="1">
      <c r="B14" s="306"/>
      <c r="C14" s="207" t="s">
        <v>50</v>
      </c>
      <c r="D14" s="208">
        <f>'2019년세입결산'!E24</f>
        <v>2605510</v>
      </c>
      <c r="E14" s="208">
        <f>'2019년세입결산'!F24</f>
        <v>2455683</v>
      </c>
      <c r="F14" s="176" t="s">
        <v>175</v>
      </c>
      <c r="G14" s="119"/>
      <c r="H14" s="38">
        <f t="shared" si="1"/>
        <v>-149827</v>
      </c>
      <c r="I14" s="64">
        <f t="shared" si="2"/>
        <v>-0.057503905185549084</v>
      </c>
    </row>
    <row r="15" spans="2:9" ht="42.75" customHeight="1" thickBot="1">
      <c r="B15" s="224"/>
      <c r="C15" s="105" t="s">
        <v>114</v>
      </c>
      <c r="D15" s="110">
        <f>'2019년세입결산'!E27</f>
        <v>76000000</v>
      </c>
      <c r="E15" s="110">
        <f>'2019년세입결산'!F27</f>
        <v>76000000</v>
      </c>
      <c r="F15" s="177">
        <f aca="true" t="shared" si="3" ref="F15:F24">E15-D15</f>
        <v>0</v>
      </c>
      <c r="G15" s="119"/>
      <c r="H15" s="38">
        <f t="shared" si="1"/>
        <v>0</v>
      </c>
      <c r="I15" s="64"/>
    </row>
    <row r="16" spans="2:9" ht="51.75" customHeight="1" thickBot="1" thickTop="1">
      <c r="B16" s="307" t="s">
        <v>51</v>
      </c>
      <c r="C16" s="126" t="s">
        <v>73</v>
      </c>
      <c r="D16" s="127">
        <f>SUM(D17:D24)</f>
        <v>1134875827</v>
      </c>
      <c r="E16" s="127">
        <f>SUM(E17:E24)</f>
        <v>1137306160</v>
      </c>
      <c r="F16" s="116">
        <f t="shared" si="3"/>
        <v>2430333</v>
      </c>
      <c r="G16" s="119"/>
      <c r="H16" s="66">
        <f t="shared" si="1"/>
        <v>2430333</v>
      </c>
      <c r="I16" s="106">
        <f t="shared" si="2"/>
        <v>0.00214149684236776</v>
      </c>
    </row>
    <row r="17" spans="2:11" ht="42" customHeight="1" thickTop="1">
      <c r="B17" s="308"/>
      <c r="C17" s="102" t="s">
        <v>52</v>
      </c>
      <c r="D17" s="112">
        <f>'2019년세출결산'!F8</f>
        <v>848489660</v>
      </c>
      <c r="E17" s="112">
        <f>'2019년세출결산'!G8</f>
        <v>848489660</v>
      </c>
      <c r="F17" s="175">
        <f t="shared" si="3"/>
        <v>0</v>
      </c>
      <c r="G17" s="119"/>
      <c r="H17" s="38">
        <f t="shared" si="1"/>
        <v>0</v>
      </c>
      <c r="I17" s="64">
        <f t="shared" si="2"/>
        <v>0</v>
      </c>
      <c r="K17">
        <f>E17/E16</f>
        <v>0.7460521096623621</v>
      </c>
    </row>
    <row r="18" spans="2:11" ht="42" customHeight="1">
      <c r="B18" s="308"/>
      <c r="C18" s="103" t="s">
        <v>53</v>
      </c>
      <c r="D18" s="113">
        <f>'2019년세출결산'!F38</f>
        <v>1607220</v>
      </c>
      <c r="E18" s="113">
        <f>'2019년세출결산'!G38</f>
        <v>1607220</v>
      </c>
      <c r="F18" s="175">
        <f t="shared" si="3"/>
        <v>0</v>
      </c>
      <c r="G18" s="119"/>
      <c r="H18" s="38">
        <f t="shared" si="1"/>
        <v>0</v>
      </c>
      <c r="I18" s="64">
        <f t="shared" si="2"/>
        <v>0</v>
      </c>
      <c r="K18">
        <f>E18/E16</f>
        <v>0.001413181477888065</v>
      </c>
    </row>
    <row r="19" spans="2:11" ht="42" customHeight="1">
      <c r="B19" s="308"/>
      <c r="C19" s="103" t="s">
        <v>54</v>
      </c>
      <c r="D19" s="113">
        <f>'2019년세출결산'!F43</f>
        <v>36704070</v>
      </c>
      <c r="E19" s="113">
        <f>'2019년세출결산'!G43</f>
        <v>36704070</v>
      </c>
      <c r="F19" s="175">
        <f t="shared" si="3"/>
        <v>0</v>
      </c>
      <c r="G19" s="119"/>
      <c r="H19" s="38">
        <f t="shared" si="1"/>
        <v>0</v>
      </c>
      <c r="I19" s="64">
        <f t="shared" si="2"/>
        <v>0</v>
      </c>
      <c r="K19">
        <f>E19/E16</f>
        <v>0.032272813856912545</v>
      </c>
    </row>
    <row r="20" spans="2:11" ht="42" customHeight="1">
      <c r="B20" s="308"/>
      <c r="C20" s="103" t="s">
        <v>55</v>
      </c>
      <c r="D20" s="113">
        <f>'2019년세출결산'!F56</f>
        <v>47192680</v>
      </c>
      <c r="E20" s="113">
        <f>'2019년세출결산'!G56</f>
        <v>47192680</v>
      </c>
      <c r="F20" s="175">
        <f t="shared" si="3"/>
        <v>0</v>
      </c>
      <c r="G20" s="119"/>
      <c r="H20" s="38">
        <f t="shared" si="1"/>
        <v>0</v>
      </c>
      <c r="I20" s="64">
        <f t="shared" si="2"/>
        <v>0</v>
      </c>
      <c r="K20">
        <f>E20/E16</f>
        <v>0.041495141466568686</v>
      </c>
    </row>
    <row r="21" spans="2:11" ht="42" customHeight="1">
      <c r="B21" s="308"/>
      <c r="C21" s="103" t="s">
        <v>56</v>
      </c>
      <c r="D21" s="113">
        <f>'2019년세출결산'!F58</f>
        <v>13793290</v>
      </c>
      <c r="E21" s="113">
        <f>'2019년세출결산'!G58</f>
        <v>13793290</v>
      </c>
      <c r="F21" s="175">
        <f t="shared" si="3"/>
        <v>0</v>
      </c>
      <c r="G21" s="119"/>
      <c r="H21" s="38">
        <f t="shared" si="1"/>
        <v>0</v>
      </c>
      <c r="I21" s="64">
        <f t="shared" si="2"/>
        <v>0</v>
      </c>
      <c r="K21">
        <f>E21/E16</f>
        <v>0.01212803595471601</v>
      </c>
    </row>
    <row r="22" spans="2:9" ht="42" customHeight="1">
      <c r="B22" s="308"/>
      <c r="C22" s="103" t="s">
        <v>99</v>
      </c>
      <c r="D22" s="113">
        <f>'2019년세출결산'!F68</f>
        <v>60000000</v>
      </c>
      <c r="E22" s="113">
        <f>'2019년세출결산'!G68</f>
        <v>60000000</v>
      </c>
      <c r="F22" s="175">
        <f t="shared" si="3"/>
        <v>0</v>
      </c>
      <c r="G22" s="119"/>
      <c r="H22" s="38">
        <f t="shared" si="1"/>
        <v>0</v>
      </c>
      <c r="I22" s="64"/>
    </row>
    <row r="23" spans="2:11" ht="42" customHeight="1">
      <c r="B23" s="308"/>
      <c r="C23" s="103" t="s">
        <v>57</v>
      </c>
      <c r="D23" s="113">
        <f>'2019년세출결산'!F70</f>
        <v>2001846</v>
      </c>
      <c r="E23" s="113">
        <f>'2019년세출결산'!G70</f>
        <v>2001846</v>
      </c>
      <c r="F23" s="175">
        <f t="shared" si="3"/>
        <v>0</v>
      </c>
      <c r="G23" s="119"/>
      <c r="H23" s="38">
        <f t="shared" si="1"/>
        <v>0</v>
      </c>
      <c r="I23" s="64">
        <f t="shared" si="2"/>
        <v>0</v>
      </c>
      <c r="K23">
        <f>E23/E16</f>
        <v>0.0017601645629001076</v>
      </c>
    </row>
    <row r="24" spans="2:9" ht="42" customHeight="1" thickBot="1">
      <c r="B24" s="309"/>
      <c r="C24" s="105" t="s">
        <v>58</v>
      </c>
      <c r="D24" s="110">
        <f>'2019년세출결산'!F72</f>
        <v>125087061</v>
      </c>
      <c r="E24" s="110">
        <f>'2019년세출결산'!G72</f>
        <v>127517394</v>
      </c>
      <c r="F24" s="241">
        <f t="shared" si="3"/>
        <v>2430333</v>
      </c>
      <c r="G24" s="119"/>
      <c r="H24" s="38">
        <f t="shared" si="1"/>
        <v>2430333</v>
      </c>
      <c r="I24" s="64"/>
    </row>
    <row r="25" ht="14.25" thickTop="1">
      <c r="E25" s="38"/>
    </row>
    <row r="26" ht="13.5">
      <c r="E26" s="38"/>
    </row>
    <row r="27" spans="3:7" ht="13.5">
      <c r="C27" s="64"/>
      <c r="E27" s="62"/>
      <c r="F27" s="65"/>
      <c r="G27" s="65"/>
    </row>
    <row r="28" spans="3:5" ht="13.5">
      <c r="C28" s="64"/>
      <c r="E28" s="38"/>
    </row>
    <row r="29" spans="3:6" ht="13.5">
      <c r="C29" s="64"/>
      <c r="F29" s="38"/>
    </row>
    <row r="30" spans="3:8" ht="13.5">
      <c r="C30" s="64" t="s">
        <v>87</v>
      </c>
      <c r="D30" s="38">
        <f>E8+E9+E10+E11+E14</f>
        <v>951659083</v>
      </c>
      <c r="E30" t="s">
        <v>89</v>
      </c>
      <c r="F30" s="173">
        <f>8324899+2661860</f>
        <v>10986759</v>
      </c>
      <c r="H30" s="38">
        <f>E7-E16</f>
        <v>0</v>
      </c>
    </row>
    <row r="31" spans="3:4" ht="13.5">
      <c r="C31" t="s">
        <v>88</v>
      </c>
      <c r="D31" s="38">
        <f>E17+E18+E19+E20+E21+E23</f>
        <v>949788766</v>
      </c>
    </row>
    <row r="32" spans="4:6" ht="13.5">
      <c r="D32" s="38">
        <f>D30-D31</f>
        <v>1870317</v>
      </c>
      <c r="E32" t="s">
        <v>90</v>
      </c>
      <c r="F32" s="38">
        <f>D32-F30</f>
        <v>-9116442</v>
      </c>
    </row>
  </sheetData>
  <sheetProtection/>
  <mergeCells count="7">
    <mergeCell ref="B2:F2"/>
    <mergeCell ref="B5:C6"/>
    <mergeCell ref="B7:B14"/>
    <mergeCell ref="B16:B24"/>
    <mergeCell ref="D5:D6"/>
    <mergeCell ref="E5:E6"/>
    <mergeCell ref="F5:F6"/>
  </mergeCells>
  <printOptions horizontalCentered="1" verticalCentered="1"/>
  <pageMargins left="0.7" right="0.7" top="0.75" bottom="0.75" header="0.3" footer="0.3"/>
  <pageSetup horizontalDpi="600" verticalDpi="600" orientation="portrait" paperSize="9" scale="7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B1:R109"/>
  <sheetViews>
    <sheetView zoomScale="90" zoomScaleNormal="90" zoomScalePageLayoutView="0" workbookViewId="0" topLeftCell="A7">
      <selection activeCell="H13" sqref="H13"/>
    </sheetView>
  </sheetViews>
  <sheetFormatPr defaultColWidth="8.88671875" defaultRowHeight="13.5"/>
  <cols>
    <col min="1" max="1" width="1.2265625" style="0" customWidth="1"/>
    <col min="2" max="2" width="5.21484375" style="0" customWidth="1"/>
    <col min="3" max="3" width="6.88671875" style="0" customWidth="1"/>
    <col min="4" max="4" width="9.4453125" style="0" customWidth="1"/>
    <col min="5" max="5" width="12.10546875" style="74" customWidth="1"/>
    <col min="6" max="6" width="11.99609375" style="74" customWidth="1"/>
    <col min="7" max="7" width="12.21484375" style="74" customWidth="1"/>
    <col min="8" max="8" width="24.10546875" style="0" customWidth="1"/>
    <col min="9" max="9" width="3.21484375" style="0" customWidth="1"/>
    <col min="10" max="10" width="12.21484375" style="74" bestFit="1" customWidth="1"/>
    <col min="11" max="11" width="12.99609375" style="0" customWidth="1"/>
    <col min="13" max="13" width="11.4453125" style="0" bestFit="1" customWidth="1"/>
    <col min="14" max="14" width="11.5546875" style="0" bestFit="1" customWidth="1"/>
    <col min="15" max="15" width="12.6640625" style="0" bestFit="1" customWidth="1"/>
    <col min="16" max="17" width="11.5546875" style="0" bestFit="1" customWidth="1"/>
    <col min="18" max="18" width="12.6640625" style="0" bestFit="1" customWidth="1"/>
  </cols>
  <sheetData>
    <row r="1" spans="2:9" ht="13.5">
      <c r="B1" s="29"/>
      <c r="C1" s="29"/>
      <c r="D1" s="29"/>
      <c r="E1" s="70"/>
      <c r="F1" s="70"/>
      <c r="G1" s="70"/>
      <c r="H1" s="29"/>
      <c r="I1" s="29"/>
    </row>
    <row r="2" spans="2:9" ht="19.5" customHeight="1" thickBot="1">
      <c r="B2" s="29" t="s">
        <v>71</v>
      </c>
      <c r="C2" s="29"/>
      <c r="D2" s="48"/>
      <c r="E2" s="76"/>
      <c r="F2" s="70"/>
      <c r="G2" s="70"/>
      <c r="H2" s="49" t="s">
        <v>8</v>
      </c>
      <c r="I2" s="60"/>
    </row>
    <row r="3" spans="2:9" ht="20.25" customHeight="1">
      <c r="B3" s="343" t="s">
        <v>110</v>
      </c>
      <c r="C3" s="344"/>
      <c r="D3" s="345"/>
      <c r="E3" s="329" t="s">
        <v>20</v>
      </c>
      <c r="F3" s="329" t="s">
        <v>170</v>
      </c>
      <c r="G3" s="340" t="s">
        <v>3</v>
      </c>
      <c r="H3" s="335" t="s">
        <v>10</v>
      </c>
      <c r="I3" s="128"/>
    </row>
    <row r="4" spans="2:9" ht="21" customHeight="1" thickBot="1">
      <c r="B4" s="18" t="s">
        <v>11</v>
      </c>
      <c r="C4" s="18" t="s">
        <v>12</v>
      </c>
      <c r="D4" s="19" t="s">
        <v>13</v>
      </c>
      <c r="E4" s="330"/>
      <c r="F4" s="330"/>
      <c r="G4" s="341"/>
      <c r="H4" s="336"/>
      <c r="I4" s="128"/>
    </row>
    <row r="5" spans="2:18" ht="96" customHeight="1">
      <c r="B5" s="314" t="s">
        <v>116</v>
      </c>
      <c r="C5" s="47" t="s">
        <v>115</v>
      </c>
      <c r="D5" s="45" t="s">
        <v>93</v>
      </c>
      <c r="E5" s="68">
        <f>62474200+3000000+500000</f>
        <v>65974200</v>
      </c>
      <c r="F5" s="68">
        <v>68139360</v>
      </c>
      <c r="G5" s="78">
        <f>F5-E5</f>
        <v>2165160</v>
      </c>
      <c r="H5" s="265" t="s">
        <v>179</v>
      </c>
      <c r="I5" s="129"/>
      <c r="J5" s="74">
        <f>F5-E5</f>
        <v>2165160</v>
      </c>
      <c r="M5" s="74">
        <f>F5</f>
        <v>68139360</v>
      </c>
      <c r="N5" s="173">
        <v>9301260</v>
      </c>
      <c r="O5" s="38">
        <f>M5-N5</f>
        <v>58838100</v>
      </c>
      <c r="P5" s="38">
        <f>O5/12</f>
        <v>4903175</v>
      </c>
      <c r="Q5" s="38">
        <f>ROUNDDOWN(P5,-1)</f>
        <v>4903170</v>
      </c>
      <c r="R5" s="38">
        <f>Q5*12</f>
        <v>58838040</v>
      </c>
    </row>
    <row r="6" spans="2:9" ht="30" customHeight="1" thickBot="1">
      <c r="B6" s="346"/>
      <c r="C6" s="322" t="s">
        <v>41</v>
      </c>
      <c r="D6" s="328"/>
      <c r="E6" s="69">
        <f>E5</f>
        <v>65974200</v>
      </c>
      <c r="F6" s="69">
        <f>F5</f>
        <v>68139360</v>
      </c>
      <c r="G6" s="89">
        <f>G5</f>
        <v>2165160</v>
      </c>
      <c r="H6" s="266"/>
      <c r="I6" s="129"/>
    </row>
    <row r="7" spans="2:10" s="1" customFormat="1" ht="53.25" customHeight="1">
      <c r="B7" s="314" t="s">
        <v>109</v>
      </c>
      <c r="C7" s="314" t="s">
        <v>109</v>
      </c>
      <c r="D7" s="67" t="s">
        <v>112</v>
      </c>
      <c r="E7" s="225">
        <f>8750000*4</f>
        <v>35000000</v>
      </c>
      <c r="F7" s="225">
        <v>35000000</v>
      </c>
      <c r="G7" s="226">
        <f>F7-E7</f>
        <v>0</v>
      </c>
      <c r="H7" s="267" t="s">
        <v>163</v>
      </c>
      <c r="I7" s="130"/>
      <c r="J7" s="82">
        <f>F7-E7</f>
        <v>0</v>
      </c>
    </row>
    <row r="8" spans="2:10" s="9" customFormat="1" ht="53.25" customHeight="1">
      <c r="B8" s="327"/>
      <c r="C8" s="327"/>
      <c r="D8" s="27" t="s">
        <v>69</v>
      </c>
      <c r="E8" s="71">
        <f>19150000+39411680</f>
        <v>58561680</v>
      </c>
      <c r="F8" s="71">
        <v>58561680</v>
      </c>
      <c r="G8" s="188">
        <f aca="true" t="shared" si="0" ref="G8:G15">F8-E8</f>
        <v>0</v>
      </c>
      <c r="H8" s="36" t="s">
        <v>130</v>
      </c>
      <c r="I8" s="131"/>
      <c r="J8" s="82">
        <f aca="true" t="shared" si="1" ref="J8:J16">F8-E8</f>
        <v>0</v>
      </c>
    </row>
    <row r="9" spans="2:10" s="9" customFormat="1" ht="30" customHeight="1" thickBot="1">
      <c r="B9" s="52"/>
      <c r="C9" s="337" t="s">
        <v>70</v>
      </c>
      <c r="D9" s="338"/>
      <c r="E9" s="72">
        <f>E7+E8</f>
        <v>93561680</v>
      </c>
      <c r="F9" s="72">
        <f>F7+F8</f>
        <v>93561680</v>
      </c>
      <c r="G9" s="89">
        <f>F9-E9</f>
        <v>0</v>
      </c>
      <c r="H9" s="268"/>
      <c r="I9" s="129"/>
      <c r="J9" s="82">
        <f t="shared" si="1"/>
        <v>0</v>
      </c>
    </row>
    <row r="10" spans="2:10" s="9" customFormat="1" ht="32.25" customHeight="1">
      <c r="B10" s="314" t="s">
        <v>59</v>
      </c>
      <c r="C10" s="319" t="s">
        <v>4</v>
      </c>
      <c r="D10" s="47" t="s">
        <v>45</v>
      </c>
      <c r="E10" s="68">
        <f>200000+1418700</f>
        <v>1618700</v>
      </c>
      <c r="F10" s="68">
        <v>2008700</v>
      </c>
      <c r="G10" s="108">
        <f t="shared" si="0"/>
        <v>390000</v>
      </c>
      <c r="H10" s="269"/>
      <c r="I10" s="129"/>
      <c r="J10" s="82">
        <f t="shared" si="1"/>
        <v>390000</v>
      </c>
    </row>
    <row r="11" spans="2:10" s="9" customFormat="1" ht="32.25" customHeight="1">
      <c r="B11" s="315"/>
      <c r="C11" s="331"/>
      <c r="D11" s="87" t="s">
        <v>63</v>
      </c>
      <c r="E11" s="77">
        <f>310000+315000</f>
        <v>625000</v>
      </c>
      <c r="F11" s="77">
        <v>650000</v>
      </c>
      <c r="G11" s="108">
        <f>F11-E11</f>
        <v>25000</v>
      </c>
      <c r="H11" s="270" t="s">
        <v>85</v>
      </c>
      <c r="I11" s="129"/>
      <c r="J11" s="82">
        <f t="shared" si="1"/>
        <v>25000</v>
      </c>
    </row>
    <row r="12" spans="2:10" s="9" customFormat="1" ht="30" customHeight="1" thickBot="1">
      <c r="B12" s="8"/>
      <c r="C12" s="317" t="s">
        <v>7</v>
      </c>
      <c r="D12" s="339"/>
      <c r="E12" s="73">
        <f>SUM(E10:E11)</f>
        <v>2243700</v>
      </c>
      <c r="F12" s="73">
        <f>SUM(F10:F11)</f>
        <v>2658700</v>
      </c>
      <c r="G12" s="84">
        <f t="shared" si="0"/>
        <v>415000</v>
      </c>
      <c r="H12" s="271"/>
      <c r="I12" s="129"/>
      <c r="J12" s="96">
        <f t="shared" si="1"/>
        <v>415000</v>
      </c>
    </row>
    <row r="13" spans="2:11" s="9" customFormat="1" ht="48.75" customHeight="1">
      <c r="B13" s="314" t="s">
        <v>121</v>
      </c>
      <c r="C13" s="324" t="s">
        <v>190</v>
      </c>
      <c r="D13" s="47" t="s">
        <v>120</v>
      </c>
      <c r="E13" s="68">
        <f>562369000+94302460+7050000+42086480+12593050+5100420+2649180+680000-22290-7730000</f>
        <v>719078300</v>
      </c>
      <c r="F13" s="68">
        <f>726808300-7730000</f>
        <v>719078300</v>
      </c>
      <c r="G13" s="83">
        <f>F13-E13</f>
        <v>0</v>
      </c>
      <c r="H13" s="185" t="s">
        <v>191</v>
      </c>
      <c r="I13" s="131"/>
      <c r="J13" s="82">
        <f t="shared" si="1"/>
        <v>0</v>
      </c>
      <c r="K13" s="57"/>
    </row>
    <row r="14" spans="2:11" s="9" customFormat="1" ht="72.75" customHeight="1">
      <c r="B14" s="315"/>
      <c r="C14" s="325"/>
      <c r="D14" s="26" t="s">
        <v>119</v>
      </c>
      <c r="E14" s="244">
        <f>45271670+7781150+3488120+910170+383710+200540</f>
        <v>58035360</v>
      </c>
      <c r="F14" s="244">
        <v>58035360</v>
      </c>
      <c r="G14" s="289">
        <f t="shared" si="0"/>
        <v>0</v>
      </c>
      <c r="H14" s="200" t="s">
        <v>164</v>
      </c>
      <c r="I14" s="131"/>
      <c r="J14" s="82">
        <f t="shared" si="1"/>
        <v>0</v>
      </c>
      <c r="K14" s="57"/>
    </row>
    <row r="15" spans="2:11" s="9" customFormat="1" ht="43.5" customHeight="1">
      <c r="B15" s="26"/>
      <c r="C15" s="326"/>
      <c r="D15" s="27" t="s">
        <v>189</v>
      </c>
      <c r="E15" s="291">
        <v>7730000</v>
      </c>
      <c r="F15" s="290">
        <v>7730000</v>
      </c>
      <c r="G15" s="188">
        <f t="shared" si="0"/>
        <v>0</v>
      </c>
      <c r="H15" s="36" t="s">
        <v>192</v>
      </c>
      <c r="I15" s="131"/>
      <c r="J15" s="82"/>
      <c r="K15" s="57"/>
    </row>
    <row r="16" spans="2:10" s="9" customFormat="1" ht="30" customHeight="1" thickBot="1">
      <c r="B16" s="209"/>
      <c r="C16" s="317" t="s">
        <v>42</v>
      </c>
      <c r="D16" s="339"/>
      <c r="E16" s="229">
        <f>E13+E14+E15</f>
        <v>784843660</v>
      </c>
      <c r="F16" s="229">
        <f>F13+F14+F15</f>
        <v>784843660</v>
      </c>
      <c r="G16" s="89">
        <f>F16-E16</f>
        <v>0</v>
      </c>
      <c r="H16" s="271" t="s">
        <v>86</v>
      </c>
      <c r="I16" s="129"/>
      <c r="J16" s="96">
        <f t="shared" si="1"/>
        <v>0</v>
      </c>
    </row>
    <row r="17" spans="2:11" s="9" customFormat="1" ht="69" customHeight="1">
      <c r="B17" s="206" t="s">
        <v>82</v>
      </c>
      <c r="C17" s="44" t="s">
        <v>83</v>
      </c>
      <c r="D17" s="45" t="s">
        <v>94</v>
      </c>
      <c r="E17" s="68">
        <f>5600000+3150000</f>
        <v>8750000</v>
      </c>
      <c r="F17" s="68">
        <v>8750000</v>
      </c>
      <c r="G17" s="107">
        <f>F17-E17</f>
        <v>0</v>
      </c>
      <c r="H17" s="265" t="s">
        <v>150</v>
      </c>
      <c r="I17" s="129"/>
      <c r="J17" s="82">
        <f aca="true" t="shared" si="2" ref="J17:J28">F17-E17</f>
        <v>0</v>
      </c>
      <c r="K17" s="61"/>
    </row>
    <row r="18" spans="2:10" s="9" customFormat="1" ht="30" customHeight="1" thickBot="1">
      <c r="B18" s="209"/>
      <c r="C18" s="322" t="s">
        <v>84</v>
      </c>
      <c r="D18" s="342"/>
      <c r="E18" s="69">
        <f>E17</f>
        <v>8750000</v>
      </c>
      <c r="F18" s="69">
        <f>F17</f>
        <v>8750000</v>
      </c>
      <c r="G18" s="86">
        <f>G17</f>
        <v>0</v>
      </c>
      <c r="H18" s="268"/>
      <c r="I18" s="129"/>
      <c r="J18" s="82">
        <f t="shared" si="2"/>
        <v>0</v>
      </c>
    </row>
    <row r="19" spans="2:10" s="9" customFormat="1" ht="42" customHeight="1">
      <c r="B19" s="17" t="s">
        <v>5</v>
      </c>
      <c r="C19" s="41" t="s">
        <v>5</v>
      </c>
      <c r="D19" s="85" t="s">
        <v>6</v>
      </c>
      <c r="E19" s="222">
        <v>99567501</v>
      </c>
      <c r="F19" s="222">
        <v>99567501</v>
      </c>
      <c r="G19" s="83">
        <f aca="true" t="shared" si="3" ref="G19:G28">F19-E19</f>
        <v>0</v>
      </c>
      <c r="H19" s="272"/>
      <c r="I19" s="129"/>
      <c r="J19" s="82">
        <f t="shared" si="2"/>
        <v>0</v>
      </c>
    </row>
    <row r="20" spans="2:10" s="9" customFormat="1" ht="42" customHeight="1">
      <c r="B20" s="4"/>
      <c r="C20" s="20"/>
      <c r="D20" s="42" t="s">
        <v>68</v>
      </c>
      <c r="E20" s="97">
        <v>1329576</v>
      </c>
      <c r="F20" s="97">
        <v>1329576</v>
      </c>
      <c r="G20" s="188">
        <f t="shared" si="3"/>
        <v>0</v>
      </c>
      <c r="H20" s="273"/>
      <c r="I20" s="129"/>
      <c r="J20" s="82">
        <f t="shared" si="2"/>
        <v>0</v>
      </c>
    </row>
    <row r="21" spans="2:10" s="9" customFormat="1" ht="30" customHeight="1" thickBot="1">
      <c r="B21" s="8"/>
      <c r="C21" s="317" t="s">
        <v>61</v>
      </c>
      <c r="D21" s="321"/>
      <c r="E21" s="73">
        <f>SUM(E19:E20)</f>
        <v>100897077</v>
      </c>
      <c r="F21" s="88">
        <f>SUM(F19:F20)</f>
        <v>100897077</v>
      </c>
      <c r="G21" s="89">
        <f t="shared" si="3"/>
        <v>0</v>
      </c>
      <c r="H21" s="271"/>
      <c r="I21" s="129"/>
      <c r="J21" s="96">
        <f t="shared" si="2"/>
        <v>0</v>
      </c>
    </row>
    <row r="22" spans="2:10" s="9" customFormat="1" ht="39.75" customHeight="1">
      <c r="B22" s="4" t="s">
        <v>16</v>
      </c>
      <c r="C22" s="20" t="s">
        <v>16</v>
      </c>
      <c r="D22" s="21" t="s">
        <v>17</v>
      </c>
      <c r="E22" s="77">
        <f>460636+1600000</f>
        <v>2060636</v>
      </c>
      <c r="F22" s="77">
        <v>1856289</v>
      </c>
      <c r="G22" s="78" t="s">
        <v>177</v>
      </c>
      <c r="H22" s="270" t="s">
        <v>64</v>
      </c>
      <c r="I22" s="129"/>
      <c r="J22" s="82">
        <f t="shared" si="2"/>
        <v>-204347</v>
      </c>
    </row>
    <row r="23" spans="2:10" s="9" customFormat="1" ht="79.5" customHeight="1">
      <c r="B23" s="4"/>
      <c r="C23" s="28"/>
      <c r="D23" s="27" t="s">
        <v>39</v>
      </c>
      <c r="E23" s="71">
        <f>94874+415000+35000</f>
        <v>544874</v>
      </c>
      <c r="F23" s="71">
        <v>599394</v>
      </c>
      <c r="G23" s="157">
        <f t="shared" si="3"/>
        <v>54520</v>
      </c>
      <c r="H23" s="274" t="s">
        <v>180</v>
      </c>
      <c r="I23" s="132"/>
      <c r="J23" s="82">
        <f t="shared" si="2"/>
        <v>54520</v>
      </c>
    </row>
    <row r="24" spans="2:10" s="9" customFormat="1" ht="30" customHeight="1" thickBot="1">
      <c r="B24" s="8"/>
      <c r="C24" s="322" t="s">
        <v>65</v>
      </c>
      <c r="D24" s="323"/>
      <c r="E24" s="69">
        <f>SUM(E22:E23)</f>
        <v>2605510</v>
      </c>
      <c r="F24" s="69">
        <f>SUM(F22:F23)</f>
        <v>2455683</v>
      </c>
      <c r="G24" s="86" t="s">
        <v>175</v>
      </c>
      <c r="H24" s="268" t="s">
        <v>91</v>
      </c>
      <c r="I24" s="129"/>
      <c r="J24" s="96">
        <f t="shared" si="2"/>
        <v>-149827</v>
      </c>
    </row>
    <row r="25" spans="2:10" s="9" customFormat="1" ht="42" customHeight="1">
      <c r="B25" s="314" t="s">
        <v>106</v>
      </c>
      <c r="C25" s="319" t="s">
        <v>107</v>
      </c>
      <c r="D25" s="47" t="s">
        <v>98</v>
      </c>
      <c r="E25" s="68">
        <v>73000000</v>
      </c>
      <c r="F25" s="68">
        <v>73000000</v>
      </c>
      <c r="G25" s="83">
        <f t="shared" si="3"/>
        <v>0</v>
      </c>
      <c r="H25" s="275" t="s">
        <v>117</v>
      </c>
      <c r="I25" s="129"/>
      <c r="J25" s="96"/>
    </row>
    <row r="26" spans="2:10" s="9" customFormat="1" ht="39" customHeight="1">
      <c r="B26" s="315"/>
      <c r="C26" s="320"/>
      <c r="D26" s="227" t="s">
        <v>105</v>
      </c>
      <c r="E26" s="97">
        <v>3000000</v>
      </c>
      <c r="F26" s="97">
        <v>3000000</v>
      </c>
      <c r="G26" s="188">
        <f t="shared" si="3"/>
        <v>0</v>
      </c>
      <c r="H26" s="204" t="s">
        <v>111</v>
      </c>
      <c r="I26" s="129"/>
      <c r="J26" s="96"/>
    </row>
    <row r="27" spans="2:10" s="9" customFormat="1" ht="25.5" customHeight="1" thickBot="1">
      <c r="B27" s="316"/>
      <c r="C27" s="317" t="s">
        <v>108</v>
      </c>
      <c r="D27" s="318"/>
      <c r="E27" s="229">
        <f>SUM(E25:E26)</f>
        <v>76000000</v>
      </c>
      <c r="F27" s="228">
        <f>SUM(F25:F26)</f>
        <v>76000000</v>
      </c>
      <c r="G27" s="84">
        <f t="shared" si="3"/>
        <v>0</v>
      </c>
      <c r="H27" s="271"/>
      <c r="I27" s="129"/>
      <c r="J27" s="96"/>
    </row>
    <row r="28" spans="2:10" s="9" customFormat="1" ht="36.75" customHeight="1" thickBot="1">
      <c r="B28" s="332" t="s">
        <v>66</v>
      </c>
      <c r="C28" s="333"/>
      <c r="D28" s="334"/>
      <c r="E28" s="69">
        <f>E6+E9+E21+E24+E18+E12+E16+E27</f>
        <v>1134875827</v>
      </c>
      <c r="F28" s="69">
        <f>F6+F9+F21+F24+F18+F12+F16+F27</f>
        <v>1137306160</v>
      </c>
      <c r="G28" s="86">
        <f t="shared" si="3"/>
        <v>2430333</v>
      </c>
      <c r="H28" s="268"/>
      <c r="I28" s="129"/>
      <c r="J28" s="82">
        <f t="shared" si="2"/>
        <v>2430333</v>
      </c>
    </row>
    <row r="29" ht="13.5">
      <c r="G29" s="79"/>
    </row>
    <row r="30" ht="13.5">
      <c r="G30" s="79"/>
    </row>
    <row r="31" spans="7:9" ht="13.5">
      <c r="G31" s="79"/>
      <c r="H31" s="38"/>
      <c r="I31" s="38"/>
    </row>
    <row r="32" spans="6:7" ht="13.5">
      <c r="F32" s="75"/>
      <c r="G32" s="80"/>
    </row>
    <row r="33" spans="7:9" ht="13.5">
      <c r="G33" s="79"/>
      <c r="H33" s="38"/>
      <c r="I33" s="38"/>
    </row>
    <row r="34" ht="13.5">
      <c r="G34" s="80"/>
    </row>
    <row r="35" ht="13.5">
      <c r="G35" s="81"/>
    </row>
    <row r="36" ht="13.5">
      <c r="G36" s="79"/>
    </row>
    <row r="37" ht="13.5">
      <c r="G37" s="79"/>
    </row>
    <row r="38" spans="6:7" ht="13.5">
      <c r="F38" s="75"/>
      <c r="G38" s="79"/>
    </row>
    <row r="39" ht="13.5">
      <c r="G39" s="79"/>
    </row>
    <row r="40" ht="13.5">
      <c r="G40" s="79"/>
    </row>
    <row r="41" ht="13.5">
      <c r="G41" s="79"/>
    </row>
    <row r="42" ht="13.5">
      <c r="G42" s="79"/>
    </row>
    <row r="43" ht="13.5">
      <c r="G43" s="79"/>
    </row>
    <row r="44" ht="13.5">
      <c r="G44" s="79"/>
    </row>
    <row r="45" ht="13.5">
      <c r="G45" s="79"/>
    </row>
    <row r="46" ht="13.5">
      <c r="G46" s="79"/>
    </row>
    <row r="47" ht="13.5">
      <c r="G47" s="79"/>
    </row>
    <row r="48" ht="13.5">
      <c r="G48" s="79"/>
    </row>
    <row r="49" ht="13.5">
      <c r="G49" s="79"/>
    </row>
    <row r="50" ht="13.5">
      <c r="G50" s="79"/>
    </row>
    <row r="51" ht="13.5">
      <c r="G51" s="79"/>
    </row>
    <row r="52" ht="13.5">
      <c r="G52" s="79"/>
    </row>
    <row r="53" ht="13.5">
      <c r="G53" s="79"/>
    </row>
    <row r="54" ht="13.5">
      <c r="G54" s="79"/>
    </row>
    <row r="55" ht="13.5">
      <c r="G55" s="79"/>
    </row>
    <row r="56" ht="13.5">
      <c r="G56" s="79"/>
    </row>
    <row r="57" ht="13.5">
      <c r="G57" s="79"/>
    </row>
    <row r="58" ht="13.5">
      <c r="G58" s="79"/>
    </row>
    <row r="59" ht="13.5">
      <c r="G59" s="79"/>
    </row>
    <row r="60" ht="13.5">
      <c r="G60" s="79"/>
    </row>
    <row r="61" ht="13.5">
      <c r="G61" s="79"/>
    </row>
    <row r="62" ht="13.5">
      <c r="G62" s="79"/>
    </row>
    <row r="63" ht="13.5">
      <c r="G63" s="79"/>
    </row>
    <row r="109" ht="13.5">
      <c r="H109" t="s">
        <v>19</v>
      </c>
    </row>
  </sheetData>
  <sheetProtection/>
  <mergeCells count="23">
    <mergeCell ref="B28:D28"/>
    <mergeCell ref="H3:H4"/>
    <mergeCell ref="C9:D9"/>
    <mergeCell ref="C12:D12"/>
    <mergeCell ref="G3:G4"/>
    <mergeCell ref="C16:D16"/>
    <mergeCell ref="C18:D18"/>
    <mergeCell ref="F3:F4"/>
    <mergeCell ref="B3:D3"/>
    <mergeCell ref="B5:B6"/>
    <mergeCell ref="B10:B11"/>
    <mergeCell ref="C7:C8"/>
    <mergeCell ref="C6:D6"/>
    <mergeCell ref="B7:B8"/>
    <mergeCell ref="E3:E4"/>
    <mergeCell ref="C10:C11"/>
    <mergeCell ref="B25:B27"/>
    <mergeCell ref="C27:D27"/>
    <mergeCell ref="C25:C26"/>
    <mergeCell ref="C21:D21"/>
    <mergeCell ref="C24:D24"/>
    <mergeCell ref="B13:B14"/>
    <mergeCell ref="C13:C15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100"/>
  <sheetViews>
    <sheetView tabSelected="1" zoomScale="90" zoomScaleNormal="90" zoomScalePageLayoutView="0" workbookViewId="0" topLeftCell="A55">
      <selection activeCell="G58" sqref="G58"/>
    </sheetView>
  </sheetViews>
  <sheetFormatPr defaultColWidth="8.88671875" defaultRowHeight="13.5"/>
  <cols>
    <col min="1" max="1" width="1.4375" style="0" customWidth="1"/>
    <col min="2" max="2" width="5.4453125" style="0" customWidth="1"/>
    <col min="3" max="3" width="5.6640625" style="0" customWidth="1"/>
    <col min="4" max="4" width="7.77734375" style="0" customWidth="1"/>
    <col min="5" max="5" width="12.5546875" style="0" hidden="1" customWidth="1"/>
    <col min="6" max="7" width="13.77734375" style="0" customWidth="1"/>
    <col min="8" max="8" width="11.3359375" style="0" customWidth="1"/>
    <col min="9" max="9" width="28.5546875" style="0" customWidth="1"/>
    <col min="10" max="10" width="20.77734375" style="90" customWidth="1"/>
    <col min="11" max="11" width="17.99609375" style="38" customWidth="1"/>
    <col min="12" max="12" width="15.4453125" style="0" bestFit="1" customWidth="1"/>
    <col min="13" max="13" width="9.88671875" style="0" bestFit="1" customWidth="1"/>
    <col min="14" max="14" width="12.99609375" style="0" customWidth="1"/>
    <col min="15" max="15" width="10.99609375" style="0" bestFit="1" customWidth="1"/>
    <col min="16" max="17" width="12.4453125" style="0" bestFit="1" customWidth="1"/>
    <col min="18" max="18" width="13.3359375" style="0" bestFit="1" customWidth="1"/>
    <col min="19" max="20" width="12.4453125" style="0" bestFit="1" customWidth="1"/>
    <col min="21" max="21" width="13.3359375" style="0" bestFit="1" customWidth="1"/>
  </cols>
  <sheetData>
    <row r="2" ht="22.5" customHeight="1">
      <c r="B2" s="29" t="s">
        <v>78</v>
      </c>
    </row>
    <row r="3" spans="1:9" ht="17.25" customHeight="1">
      <c r="A3" t="s">
        <v>92</v>
      </c>
      <c r="B3" s="29"/>
      <c r="C3" s="29"/>
      <c r="D3" s="48"/>
      <c r="E3" s="29"/>
      <c r="F3" s="29"/>
      <c r="G3" s="29"/>
      <c r="H3" s="29"/>
      <c r="I3" s="60" t="s">
        <v>8</v>
      </c>
    </row>
    <row r="4" spans="2:9" ht="11.25" customHeight="1" thickBot="1">
      <c r="B4" s="29"/>
      <c r="C4" s="29"/>
      <c r="D4" s="48"/>
      <c r="E4" s="29"/>
      <c r="F4" s="29"/>
      <c r="G4" s="29"/>
      <c r="H4" s="29"/>
      <c r="I4" s="60"/>
    </row>
    <row r="5" spans="2:9" ht="16.5" customHeight="1" thickBot="1">
      <c r="B5" s="16"/>
      <c r="C5" s="13" t="s">
        <v>9</v>
      </c>
      <c r="D5" s="115"/>
      <c r="E5" s="329" t="s">
        <v>20</v>
      </c>
      <c r="F5" s="329" t="s">
        <v>20</v>
      </c>
      <c r="G5" s="329" t="s">
        <v>170</v>
      </c>
      <c r="H5" s="351" t="s">
        <v>3</v>
      </c>
      <c r="I5" s="335" t="s">
        <v>10</v>
      </c>
    </row>
    <row r="6" spans="2:12" ht="23.25" customHeight="1" thickBot="1">
      <c r="B6" s="32" t="s">
        <v>11</v>
      </c>
      <c r="C6" s="32" t="s">
        <v>12</v>
      </c>
      <c r="D6" s="33" t="s">
        <v>13</v>
      </c>
      <c r="E6" s="330"/>
      <c r="F6" s="330"/>
      <c r="G6" s="330"/>
      <c r="H6" s="352"/>
      <c r="I6" s="336"/>
      <c r="K6" s="38" t="s">
        <v>88</v>
      </c>
      <c r="L6" s="173">
        <v>1134754647</v>
      </c>
    </row>
    <row r="7" spans="2:14" ht="33" customHeight="1" thickBot="1">
      <c r="B7" s="32"/>
      <c r="C7" s="32"/>
      <c r="D7" s="125" t="s">
        <v>18</v>
      </c>
      <c r="E7" s="40" t="e">
        <f>E8+E38+E43+E56+#REF!+E58+E70+E72</f>
        <v>#REF!</v>
      </c>
      <c r="F7" s="40">
        <f>F8+F38+F43+F56+F58+F70+F68+F72</f>
        <v>1134875827</v>
      </c>
      <c r="G7" s="40">
        <f>G8+G38+G43+G56+G58+G70+G68+G72</f>
        <v>1137306160</v>
      </c>
      <c r="H7" s="143">
        <f>G7-F7</f>
        <v>2430333</v>
      </c>
      <c r="I7" s="63"/>
      <c r="J7" s="91">
        <f>G7-F7</f>
        <v>2430333</v>
      </c>
      <c r="K7" s="38" t="s">
        <v>87</v>
      </c>
      <c r="L7" s="173">
        <v>1134875827</v>
      </c>
      <c r="M7" s="38">
        <f>L6-L7</f>
        <v>-121180</v>
      </c>
      <c r="N7" s="173">
        <v>121180</v>
      </c>
    </row>
    <row r="8" spans="2:10" ht="32.25" customHeight="1" thickBot="1">
      <c r="B8" s="20" t="s">
        <v>21</v>
      </c>
      <c r="C8" s="41" t="s">
        <v>0</v>
      </c>
      <c r="D8" s="125" t="s">
        <v>14</v>
      </c>
      <c r="E8" s="34" t="e">
        <f>E11+#REF!+#REF!+#REF!+#REF!+#REF!+#REF!+#REF!</f>
        <v>#REF!</v>
      </c>
      <c r="F8" s="40">
        <f>F9+F26+F16+F27+F28</f>
        <v>848489660</v>
      </c>
      <c r="G8" s="40">
        <f>G9+G26+G16+G27+G28</f>
        <v>848489660</v>
      </c>
      <c r="H8" s="143">
        <f>G8-F8</f>
        <v>0</v>
      </c>
      <c r="I8" s="63"/>
      <c r="J8" s="91">
        <f>G8-F8</f>
        <v>0</v>
      </c>
    </row>
    <row r="9" spans="2:11" ht="46.5" customHeight="1">
      <c r="B9" s="20"/>
      <c r="C9" s="20"/>
      <c r="D9" s="20" t="s">
        <v>22</v>
      </c>
      <c r="E9" s="114"/>
      <c r="F9" s="150">
        <f>9000000+7964430+31902000+23628000+36230000+41040000+42555480</f>
        <v>192319910</v>
      </c>
      <c r="G9" s="150">
        <v>192319910</v>
      </c>
      <c r="H9" s="144">
        <f>G9-F9</f>
        <v>0</v>
      </c>
      <c r="I9" s="15" t="s">
        <v>152</v>
      </c>
      <c r="J9" s="91">
        <f>G9-F9</f>
        <v>0</v>
      </c>
      <c r="K9" s="191"/>
    </row>
    <row r="10" spans="2:10" ht="46.5" customHeight="1">
      <c r="B10" s="20"/>
      <c r="C10" s="20"/>
      <c r="D10" s="20"/>
      <c r="E10" s="114"/>
      <c r="F10" s="190"/>
      <c r="G10" s="190"/>
      <c r="H10" s="163"/>
      <c r="I10" s="15" t="s">
        <v>123</v>
      </c>
      <c r="J10" s="91"/>
    </row>
    <row r="11" spans="2:11" s="1" customFormat="1" ht="46.5" customHeight="1">
      <c r="B11" s="4"/>
      <c r="C11" s="4"/>
      <c r="D11" s="20"/>
      <c r="E11" s="31">
        <f>5082000+5250000+4530000+4668000+4806000+4944000</f>
        <v>29280000</v>
      </c>
      <c r="F11" s="151"/>
      <c r="G11" s="151"/>
      <c r="H11" s="145"/>
      <c r="I11" s="15" t="s">
        <v>122</v>
      </c>
      <c r="J11" s="92">
        <f>G11-F11</f>
        <v>0</v>
      </c>
      <c r="K11" s="46"/>
    </row>
    <row r="12" spans="2:11" s="1" customFormat="1" ht="46.5" customHeight="1">
      <c r="B12" s="4"/>
      <c r="C12" s="4"/>
      <c r="D12" s="20"/>
      <c r="E12" s="31"/>
      <c r="F12" s="151"/>
      <c r="G12" s="151"/>
      <c r="H12" s="145"/>
      <c r="I12" s="15" t="s">
        <v>118</v>
      </c>
      <c r="J12" s="92"/>
      <c r="K12" s="46"/>
    </row>
    <row r="13" spans="2:11" s="1" customFormat="1" ht="73.5" customHeight="1">
      <c r="B13" s="4"/>
      <c r="C13" s="4"/>
      <c r="D13" s="20"/>
      <c r="E13" s="31"/>
      <c r="F13" s="151"/>
      <c r="G13" s="151"/>
      <c r="H13" s="145"/>
      <c r="I13" s="15" t="s">
        <v>153</v>
      </c>
      <c r="J13" s="92"/>
      <c r="K13" s="46"/>
    </row>
    <row r="14" spans="2:11" s="1" customFormat="1" ht="42.75" customHeight="1">
      <c r="B14" s="4"/>
      <c r="C14" s="4"/>
      <c r="D14" s="20"/>
      <c r="E14" s="31"/>
      <c r="F14" s="151"/>
      <c r="G14" s="151"/>
      <c r="H14" s="145"/>
      <c r="I14" s="15" t="s">
        <v>101</v>
      </c>
      <c r="J14" s="92"/>
      <c r="K14" s="46"/>
    </row>
    <row r="15" spans="2:11" s="1" customFormat="1" ht="73.5" customHeight="1">
      <c r="B15" s="4"/>
      <c r="C15" s="4"/>
      <c r="D15" s="20"/>
      <c r="E15" s="31"/>
      <c r="F15" s="151"/>
      <c r="G15" s="151"/>
      <c r="H15" s="145"/>
      <c r="I15" s="276" t="s">
        <v>160</v>
      </c>
      <c r="J15" s="158"/>
      <c r="K15" s="46"/>
    </row>
    <row r="16" spans="2:11" s="1" customFormat="1" ht="90.75" customHeight="1">
      <c r="B16" s="4"/>
      <c r="C16" s="4"/>
      <c r="D16" s="255" t="s">
        <v>102</v>
      </c>
      <c r="E16" s="256"/>
      <c r="F16" s="257">
        <f>18790000+1400000+19550000+3681840+5250000+713210</f>
        <v>49385050</v>
      </c>
      <c r="G16" s="257">
        <v>49385050</v>
      </c>
      <c r="H16" s="250">
        <f>G16-F16</f>
        <v>0</v>
      </c>
      <c r="I16" s="264" t="s">
        <v>154</v>
      </c>
      <c r="J16" s="158">
        <f>G16-F16</f>
        <v>0</v>
      </c>
      <c r="K16" s="46"/>
    </row>
    <row r="17" spans="2:11" s="1" customFormat="1" ht="103.5" customHeight="1" thickBot="1">
      <c r="B17" s="8"/>
      <c r="C17" s="8"/>
      <c r="D17" s="178"/>
      <c r="E17" s="253"/>
      <c r="F17" s="254"/>
      <c r="G17" s="254"/>
      <c r="H17" s="148"/>
      <c r="I17" s="260" t="s">
        <v>155</v>
      </c>
      <c r="J17" s="158"/>
      <c r="K17" s="46"/>
    </row>
    <row r="18" spans="2:11" s="1" customFormat="1" ht="121.5" customHeight="1">
      <c r="B18" s="4"/>
      <c r="C18" s="4"/>
      <c r="D18" s="20" t="s">
        <v>102</v>
      </c>
      <c r="E18" s="31"/>
      <c r="F18" s="151"/>
      <c r="G18" s="151"/>
      <c r="H18" s="145"/>
      <c r="I18" s="15" t="s">
        <v>156</v>
      </c>
      <c r="J18" s="158"/>
      <c r="K18" s="46"/>
    </row>
    <row r="19" spans="2:11" s="1" customFormat="1" ht="62.25" customHeight="1">
      <c r="B19" s="252"/>
      <c r="C19" s="20"/>
      <c r="D19" s="327"/>
      <c r="E19" s="182"/>
      <c r="F19" s="151"/>
      <c r="G19" s="151"/>
      <c r="H19" s="198"/>
      <c r="I19" s="15" t="s">
        <v>157</v>
      </c>
      <c r="J19" s="92"/>
      <c r="K19" s="46"/>
    </row>
    <row r="20" spans="2:11" s="1" customFormat="1" ht="93" customHeight="1">
      <c r="B20" s="2"/>
      <c r="C20" s="4"/>
      <c r="D20" s="327"/>
      <c r="E20" s="194"/>
      <c r="F20" s="151"/>
      <c r="G20" s="151"/>
      <c r="H20" s="198"/>
      <c r="I20" s="14" t="s">
        <v>167</v>
      </c>
      <c r="J20" s="92"/>
      <c r="K20" s="46"/>
    </row>
    <row r="21" spans="2:11" s="1" customFormat="1" ht="62.25" customHeight="1">
      <c r="B21" s="2"/>
      <c r="C21" s="4"/>
      <c r="D21" s="327"/>
      <c r="E21" s="194"/>
      <c r="F21" s="195"/>
      <c r="G21" s="195"/>
      <c r="H21" s="196"/>
      <c r="I21" s="15" t="s">
        <v>133</v>
      </c>
      <c r="J21" s="92"/>
      <c r="K21" s="46"/>
    </row>
    <row r="22" spans="2:11" s="1" customFormat="1" ht="104.25" customHeight="1">
      <c r="B22" s="2"/>
      <c r="C22" s="4"/>
      <c r="D22" s="327"/>
      <c r="E22" s="194"/>
      <c r="F22" s="195"/>
      <c r="G22" s="195"/>
      <c r="H22" s="196"/>
      <c r="I22" s="15" t="s">
        <v>151</v>
      </c>
      <c r="J22" s="92"/>
      <c r="K22" s="46"/>
    </row>
    <row r="23" spans="2:11" s="1" customFormat="1" ht="56.25" customHeight="1">
      <c r="B23" s="2"/>
      <c r="C23" s="4"/>
      <c r="D23" s="327"/>
      <c r="E23" s="194"/>
      <c r="F23" s="195"/>
      <c r="G23" s="195"/>
      <c r="H23" s="196"/>
      <c r="I23" s="15" t="s">
        <v>158</v>
      </c>
      <c r="J23" s="92"/>
      <c r="K23" s="46"/>
    </row>
    <row r="24" spans="2:11" s="1" customFormat="1" ht="55.5" customHeight="1">
      <c r="B24" s="2"/>
      <c r="C24" s="4"/>
      <c r="D24" s="327"/>
      <c r="E24" s="194"/>
      <c r="F24" s="195"/>
      <c r="G24" s="195"/>
      <c r="H24" s="196"/>
      <c r="I24" s="15" t="s">
        <v>134</v>
      </c>
      <c r="J24" s="92"/>
      <c r="K24" s="46"/>
    </row>
    <row r="25" spans="2:11" s="1" customFormat="1" ht="35.25" customHeight="1" thickBot="1">
      <c r="B25" s="156"/>
      <c r="C25" s="258"/>
      <c r="D25" s="178"/>
      <c r="E25" s="218"/>
      <c r="F25" s="251"/>
      <c r="G25" s="251"/>
      <c r="H25" s="259"/>
      <c r="I25" s="260" t="s">
        <v>159</v>
      </c>
      <c r="J25" s="92"/>
      <c r="K25" s="46"/>
    </row>
    <row r="26" spans="2:19" s="1" customFormat="1" ht="176.25" customHeight="1">
      <c r="B26" s="2"/>
      <c r="C26" s="245"/>
      <c r="D26" s="28" t="s">
        <v>43</v>
      </c>
      <c r="E26" s="182"/>
      <c r="F26" s="193">
        <v>494812630</v>
      </c>
      <c r="G26" s="193">
        <v>494812630</v>
      </c>
      <c r="H26" s="284">
        <f>G26-F26</f>
        <v>0</v>
      </c>
      <c r="I26" s="181" t="s">
        <v>171</v>
      </c>
      <c r="J26" s="92">
        <f>G26-F26</f>
        <v>0</v>
      </c>
      <c r="K26" s="46"/>
      <c r="L26" s="283">
        <v>494812630</v>
      </c>
      <c r="M26" s="46">
        <v>7730000</v>
      </c>
      <c r="N26" s="46">
        <v>6417500</v>
      </c>
      <c r="O26" s="46">
        <f>L26-M26-N26</f>
        <v>480665130</v>
      </c>
      <c r="P26" s="285">
        <f>O26/12</f>
        <v>40055427.5</v>
      </c>
      <c r="Q26" s="285">
        <f>ROUNDDOWN(P26,-1)</f>
        <v>40055420</v>
      </c>
      <c r="R26" s="285">
        <f>Q26*12</f>
        <v>480665040</v>
      </c>
      <c r="S26" s="285">
        <f>O26-R26</f>
        <v>90</v>
      </c>
    </row>
    <row r="27" spans="2:21" s="1" customFormat="1" ht="54.75" customHeight="1">
      <c r="B27" s="2"/>
      <c r="C27" s="4"/>
      <c r="D27" s="179" t="s">
        <v>44</v>
      </c>
      <c r="E27" s="180">
        <v>4411040</v>
      </c>
      <c r="F27" s="6">
        <v>54405670</v>
      </c>
      <c r="G27" s="6">
        <v>54405670</v>
      </c>
      <c r="H27" s="163">
        <f>G27-F27</f>
        <v>0</v>
      </c>
      <c r="I27" s="181" t="s">
        <v>178</v>
      </c>
      <c r="J27" s="92">
        <f>G27-F27</f>
        <v>0</v>
      </c>
      <c r="K27" s="46"/>
      <c r="M27" s="283">
        <v>54405670</v>
      </c>
      <c r="N27" s="285">
        <f>M27*12</f>
        <v>652868040</v>
      </c>
      <c r="P27" s="46">
        <f>G9</f>
        <v>192319910</v>
      </c>
      <c r="Q27" s="46">
        <f>G16-170000-11050000-713210</f>
        <v>37451840</v>
      </c>
      <c r="R27" s="285">
        <f>SUM(P27:Q27)</f>
        <v>229771750</v>
      </c>
      <c r="S27" s="285">
        <f>ROUNDDOWN(R27/12,-1)</f>
        <v>19147640</v>
      </c>
      <c r="T27" s="285">
        <f>G27-S27</f>
        <v>35258030</v>
      </c>
      <c r="U27" s="285">
        <f>T27*12</f>
        <v>423096360</v>
      </c>
    </row>
    <row r="28" spans="2:11" s="1" customFormat="1" ht="24.75" customHeight="1">
      <c r="B28" s="2"/>
      <c r="C28" s="4"/>
      <c r="D28" s="353" t="s">
        <v>103</v>
      </c>
      <c r="E28" s="5">
        <v>1862650</v>
      </c>
      <c r="F28" s="39">
        <v>57566400</v>
      </c>
      <c r="G28" s="39">
        <v>57566400</v>
      </c>
      <c r="H28" s="230">
        <f>G28-F28</f>
        <v>0</v>
      </c>
      <c r="I28" s="22" t="s">
        <v>143</v>
      </c>
      <c r="J28" s="92">
        <f>G28-F28</f>
        <v>0</v>
      </c>
      <c r="K28" s="46">
        <f>971520/6.46%*2</f>
        <v>30078018.575851392</v>
      </c>
    </row>
    <row r="29" spans="2:11" s="1" customFormat="1" ht="32.25" customHeight="1">
      <c r="B29" s="2"/>
      <c r="C29" s="4"/>
      <c r="D29" s="353"/>
      <c r="E29" s="5"/>
      <c r="F29" s="5"/>
      <c r="G29" s="5"/>
      <c r="H29" s="145"/>
      <c r="I29" s="189" t="s">
        <v>144</v>
      </c>
      <c r="J29" s="92"/>
      <c r="K29" s="46"/>
    </row>
    <row r="30" spans="2:11" s="1" customFormat="1" ht="24.75" customHeight="1">
      <c r="B30" s="2"/>
      <c r="C30" s="4"/>
      <c r="D30" s="192"/>
      <c r="E30" s="5"/>
      <c r="F30" s="5"/>
      <c r="G30" s="5"/>
      <c r="H30" s="145"/>
      <c r="I30" s="197" t="s">
        <v>146</v>
      </c>
      <c r="J30" s="92">
        <v>2059310</v>
      </c>
      <c r="K30" s="46"/>
    </row>
    <row r="31" spans="2:11" s="1" customFormat="1" ht="27.75" customHeight="1">
      <c r="B31" s="2"/>
      <c r="C31" s="4"/>
      <c r="D31" s="26"/>
      <c r="E31" s="5"/>
      <c r="F31" s="5"/>
      <c r="G31" s="5"/>
      <c r="H31" s="145"/>
      <c r="I31" s="189" t="s">
        <v>145</v>
      </c>
      <c r="J31" s="92"/>
      <c r="K31" s="46" t="e">
        <f>#REF!-J31</f>
        <v>#REF!</v>
      </c>
    </row>
    <row r="32" spans="2:11" s="1" customFormat="1" ht="24.75" customHeight="1">
      <c r="B32" s="2"/>
      <c r="C32" s="4"/>
      <c r="D32" s="25"/>
      <c r="E32" s="5">
        <f>3409960+538530+492370</f>
        <v>4440860</v>
      </c>
      <c r="F32" s="5"/>
      <c r="G32" s="5"/>
      <c r="H32" s="145"/>
      <c r="I32" s="53" t="s">
        <v>147</v>
      </c>
      <c r="J32" s="92">
        <v>29213190</v>
      </c>
      <c r="K32" s="46"/>
    </row>
    <row r="33" spans="2:11" s="1" customFormat="1" ht="33" customHeight="1">
      <c r="B33" s="2"/>
      <c r="C33" s="4"/>
      <c r="D33" s="58"/>
      <c r="E33" s="7"/>
      <c r="F33" s="152"/>
      <c r="G33" s="152"/>
      <c r="H33" s="145"/>
      <c r="I33" s="51" t="s">
        <v>148</v>
      </c>
      <c r="J33" s="92"/>
      <c r="K33" s="46">
        <f>J33/4.5%</f>
        <v>0</v>
      </c>
    </row>
    <row r="34" spans="2:11" s="1" customFormat="1" ht="24.75" customHeight="1">
      <c r="B34" s="2"/>
      <c r="C34" s="4"/>
      <c r="D34" s="58"/>
      <c r="E34" s="7"/>
      <c r="F34" s="152"/>
      <c r="G34" s="152"/>
      <c r="H34" s="145"/>
      <c r="I34" s="211" t="s">
        <v>172</v>
      </c>
      <c r="J34" s="210"/>
      <c r="K34" s="46"/>
    </row>
    <row r="35" spans="2:10" s="1" customFormat="1" ht="19.5" customHeight="1">
      <c r="B35" s="2"/>
      <c r="C35" s="4"/>
      <c r="D35" s="25"/>
      <c r="E35" s="7"/>
      <c r="F35" s="152"/>
      <c r="G35" s="152"/>
      <c r="H35" s="145"/>
      <c r="I35" s="14" t="s">
        <v>173</v>
      </c>
      <c r="J35" s="46">
        <v>5376500</v>
      </c>
    </row>
    <row r="36" spans="2:10" s="1" customFormat="1" ht="22.5" customHeight="1">
      <c r="B36" s="2"/>
      <c r="C36" s="4"/>
      <c r="D36" s="25"/>
      <c r="E36" s="7"/>
      <c r="F36" s="152"/>
      <c r="G36" s="152"/>
      <c r="H36" s="145"/>
      <c r="I36" s="14" t="s">
        <v>161</v>
      </c>
      <c r="J36" s="46"/>
    </row>
    <row r="37" spans="2:11" s="1" customFormat="1" ht="39" customHeight="1" thickBot="1">
      <c r="B37" s="156"/>
      <c r="C37" s="8"/>
      <c r="D37" s="178"/>
      <c r="E37" s="236"/>
      <c r="F37" s="165"/>
      <c r="G37" s="165"/>
      <c r="H37" s="148"/>
      <c r="I37" s="237" t="s">
        <v>137</v>
      </c>
      <c r="J37" s="162">
        <v>6287490</v>
      </c>
      <c r="K37" s="46">
        <f>K28+J30+J32+J35+J37</f>
        <v>73014508.5758514</v>
      </c>
    </row>
    <row r="38" spans="2:11" s="1" customFormat="1" ht="30.75" customHeight="1" thickBot="1">
      <c r="B38" s="2"/>
      <c r="C38" s="120" t="s">
        <v>23</v>
      </c>
      <c r="D38" s="231" t="s">
        <v>14</v>
      </c>
      <c r="E38" s="232" t="e">
        <f>E39+#REF!+E42</f>
        <v>#REF!</v>
      </c>
      <c r="F38" s="233">
        <f>F39+F42+F41</f>
        <v>1607220</v>
      </c>
      <c r="G38" s="234">
        <f>G39+G41+G42</f>
        <v>1607220</v>
      </c>
      <c r="H38" s="235">
        <f>G38-F38</f>
        <v>0</v>
      </c>
      <c r="I38" s="277"/>
      <c r="J38" s="91">
        <f aca="true" t="shared" si="0" ref="J38:J73">G38-F38</f>
        <v>0</v>
      </c>
      <c r="K38" s="46"/>
    </row>
    <row r="39" spans="2:11" s="1" customFormat="1" ht="52.5" customHeight="1">
      <c r="B39" s="2"/>
      <c r="C39" s="20"/>
      <c r="D39" s="314" t="s">
        <v>24</v>
      </c>
      <c r="E39" s="186">
        <f>350000+200000</f>
        <v>550000</v>
      </c>
      <c r="F39" s="358">
        <f>750000+53820+50000+50000</f>
        <v>903820</v>
      </c>
      <c r="G39" s="358">
        <v>903820</v>
      </c>
      <c r="H39" s="360">
        <f>G39-F39</f>
        <v>0</v>
      </c>
      <c r="I39" s="205" t="s">
        <v>181</v>
      </c>
      <c r="J39" s="92">
        <f t="shared" si="0"/>
        <v>0</v>
      </c>
      <c r="K39" s="46"/>
    </row>
    <row r="40" spans="2:11" s="1" customFormat="1" ht="56.25" customHeight="1" thickBot="1">
      <c r="B40" s="2"/>
      <c r="C40" s="20"/>
      <c r="D40" s="316"/>
      <c r="E40" s="218"/>
      <c r="F40" s="359"/>
      <c r="G40" s="359"/>
      <c r="H40" s="361"/>
      <c r="I40" s="219" t="s">
        <v>182</v>
      </c>
      <c r="J40" s="92"/>
      <c r="K40" s="46"/>
    </row>
    <row r="41" spans="2:11" s="1" customFormat="1" ht="45.75" customHeight="1" thickBot="1">
      <c r="B41" s="2"/>
      <c r="C41" s="120"/>
      <c r="D41" s="263" t="s">
        <v>81</v>
      </c>
      <c r="E41" s="218"/>
      <c r="F41" s="160">
        <v>608400</v>
      </c>
      <c r="G41" s="160">
        <v>608400</v>
      </c>
      <c r="H41" s="148">
        <f aca="true" t="shared" si="1" ref="H41:H47">G41-F41</f>
        <v>0</v>
      </c>
      <c r="I41" s="219" t="s">
        <v>174</v>
      </c>
      <c r="J41" s="92">
        <f t="shared" si="0"/>
        <v>0</v>
      </c>
      <c r="K41" s="46"/>
    </row>
    <row r="42" spans="2:11" s="1" customFormat="1" ht="44.25" customHeight="1" thickBot="1">
      <c r="B42" s="156"/>
      <c r="C42" s="281"/>
      <c r="D42" s="178" t="s">
        <v>25</v>
      </c>
      <c r="E42" s="218">
        <f>400000+200000</f>
        <v>600000</v>
      </c>
      <c r="F42" s="160">
        <f>95000</f>
        <v>95000</v>
      </c>
      <c r="G42" s="160">
        <v>95000</v>
      </c>
      <c r="H42" s="148">
        <f t="shared" si="1"/>
        <v>0</v>
      </c>
      <c r="I42" s="219" t="s">
        <v>183</v>
      </c>
      <c r="J42" s="92">
        <f t="shared" si="0"/>
        <v>0</v>
      </c>
      <c r="K42" s="46"/>
    </row>
    <row r="43" spans="2:11" s="1" customFormat="1" ht="30" customHeight="1" thickBot="1">
      <c r="B43" s="2"/>
      <c r="C43" s="4" t="s">
        <v>26</v>
      </c>
      <c r="D43" s="261" t="s">
        <v>14</v>
      </c>
      <c r="E43" s="262" t="e">
        <f>E44+E46+E47+E48+E49++#REF!</f>
        <v>#REF!</v>
      </c>
      <c r="F43" s="166">
        <f>F44+F45+F47+F48+F49+F50</f>
        <v>36704070</v>
      </c>
      <c r="G43" s="167">
        <f>G44+G45+G47+G49+G50</f>
        <v>36704070</v>
      </c>
      <c r="H43" s="168">
        <f t="shared" si="1"/>
        <v>0</v>
      </c>
      <c r="I43" s="277"/>
      <c r="J43" s="91">
        <f t="shared" si="0"/>
        <v>0</v>
      </c>
      <c r="K43" s="46"/>
    </row>
    <row r="44" spans="2:19" s="1" customFormat="1" ht="60" customHeight="1">
      <c r="B44" s="2"/>
      <c r="C44" s="2"/>
      <c r="D44" s="183" t="s">
        <v>27</v>
      </c>
      <c r="E44" s="93">
        <f>4000000+1000000</f>
        <v>5000000</v>
      </c>
      <c r="F44" s="93">
        <v>5508800</v>
      </c>
      <c r="G44" s="93">
        <v>5508800</v>
      </c>
      <c r="H44" s="184">
        <f t="shared" si="1"/>
        <v>0</v>
      </c>
      <c r="I44" s="185" t="s">
        <v>184</v>
      </c>
      <c r="J44" s="92">
        <f t="shared" si="0"/>
        <v>0</v>
      </c>
      <c r="K44" s="46">
        <f>400000+5000000+1500000</f>
        <v>6900000</v>
      </c>
      <c r="M44" s="1">
        <v>2057000</v>
      </c>
      <c r="N44" s="1">
        <v>12</v>
      </c>
      <c r="O44" s="1">
        <f>M44/N44</f>
        <v>171416.66666666666</v>
      </c>
      <c r="P44" s="1">
        <f>ROUNDDOWN(O44,-1)</f>
        <v>171410</v>
      </c>
      <c r="Q44" s="283">
        <f>P44*12</f>
        <v>2056920</v>
      </c>
      <c r="R44" s="1">
        <f>3451800</f>
        <v>3451800</v>
      </c>
      <c r="S44" s="1">
        <f>R44/12</f>
        <v>287650</v>
      </c>
    </row>
    <row r="45" spans="2:17" s="1" customFormat="1" ht="60" customHeight="1">
      <c r="B45" s="2"/>
      <c r="C45" s="2"/>
      <c r="D45" s="354" t="s">
        <v>28</v>
      </c>
      <c r="E45" s="5"/>
      <c r="F45" s="347">
        <f>2183560+287360+215000+2789460+70000</f>
        <v>5545380</v>
      </c>
      <c r="G45" s="347">
        <v>5545380</v>
      </c>
      <c r="H45" s="349">
        <f>G45-F45</f>
        <v>0</v>
      </c>
      <c r="I45" s="200" t="s">
        <v>185</v>
      </c>
      <c r="J45" s="92"/>
      <c r="K45" s="46"/>
      <c r="Q45" s="283"/>
    </row>
    <row r="46" spans="2:20" s="1" customFormat="1" ht="101.25" customHeight="1">
      <c r="B46" s="2"/>
      <c r="C46" s="4"/>
      <c r="D46" s="355"/>
      <c r="E46" s="5">
        <v>2300000</v>
      </c>
      <c r="F46" s="348"/>
      <c r="G46" s="348"/>
      <c r="H46" s="350"/>
      <c r="I46" s="286" t="s">
        <v>186</v>
      </c>
      <c r="J46" s="92">
        <f>G45-F45</f>
        <v>0</v>
      </c>
      <c r="K46" s="46">
        <f>3500000+300000+900000+3000000</f>
        <v>7700000</v>
      </c>
      <c r="M46" s="283">
        <v>2183560</v>
      </c>
      <c r="N46" s="1">
        <v>12</v>
      </c>
      <c r="O46" s="285">
        <f>M46/N46</f>
        <v>181963.33333333334</v>
      </c>
      <c r="P46" s="285">
        <f>ROUNDDOWN(O46,-1)</f>
        <v>181960</v>
      </c>
      <c r="Q46" s="285">
        <f>P46*12</f>
        <v>2183520</v>
      </c>
      <c r="R46" s="1">
        <f>287360/12</f>
        <v>23946.666666666668</v>
      </c>
      <c r="S46" s="1">
        <f>ROUNDDOWN(R46,-1)</f>
        <v>23940</v>
      </c>
      <c r="T46" s="283">
        <f>S46*12</f>
        <v>287280</v>
      </c>
    </row>
    <row r="47" spans="2:11" s="1" customFormat="1" ht="93" customHeight="1">
      <c r="B47" s="2"/>
      <c r="C47" s="4"/>
      <c r="D47" s="354" t="s">
        <v>104</v>
      </c>
      <c r="E47" s="213">
        <v>1500000</v>
      </c>
      <c r="F47" s="347">
        <f>681250+331540+4486490+311120+197030+700000+18480</f>
        <v>6725910</v>
      </c>
      <c r="G47" s="347">
        <v>6725910</v>
      </c>
      <c r="H47" s="356">
        <f t="shared" si="1"/>
        <v>0</v>
      </c>
      <c r="I47" s="214" t="s">
        <v>187</v>
      </c>
      <c r="J47" s="92">
        <f t="shared" si="0"/>
        <v>0</v>
      </c>
      <c r="K47" s="46">
        <f>664570+203540</f>
        <v>868110</v>
      </c>
    </row>
    <row r="48" spans="2:11" s="1" customFormat="1" ht="119.25" customHeight="1">
      <c r="B48" s="2"/>
      <c r="C48" s="4"/>
      <c r="D48" s="355"/>
      <c r="E48" s="6">
        <f>2000000</f>
        <v>2000000</v>
      </c>
      <c r="F48" s="348"/>
      <c r="G48" s="348"/>
      <c r="H48" s="357"/>
      <c r="I48" s="30" t="s">
        <v>188</v>
      </c>
      <c r="J48" s="92">
        <f t="shared" si="0"/>
        <v>0</v>
      </c>
      <c r="K48" s="46">
        <f>30000+3500000+900000+250000+200000</f>
        <v>4880000</v>
      </c>
    </row>
    <row r="49" spans="2:11" s="1" customFormat="1" ht="60" customHeight="1">
      <c r="B49" s="2"/>
      <c r="C49" s="4"/>
      <c r="D49" s="28" t="s">
        <v>29</v>
      </c>
      <c r="E49" s="6">
        <v>2500000</v>
      </c>
      <c r="F49" s="153">
        <f>6532000+1380400</f>
        <v>7912400</v>
      </c>
      <c r="G49" s="153">
        <v>7912400</v>
      </c>
      <c r="H49" s="146">
        <f>G49-F49</f>
        <v>0</v>
      </c>
      <c r="I49" s="30" t="s">
        <v>138</v>
      </c>
      <c r="J49" s="92">
        <f t="shared" si="0"/>
        <v>0</v>
      </c>
      <c r="K49" s="46">
        <f>7000000+2000000+100000</f>
        <v>9100000</v>
      </c>
    </row>
    <row r="50" spans="2:11" s="1" customFormat="1" ht="60" customHeight="1">
      <c r="B50" s="2"/>
      <c r="C50" s="4"/>
      <c r="D50" s="220" t="s">
        <v>80</v>
      </c>
      <c r="E50" s="194"/>
      <c r="F50" s="216">
        <f>350000+1500000+2470080+200000+100000+1200000+100000+91500+4400000+600000</f>
        <v>11011580</v>
      </c>
      <c r="G50" s="216">
        <v>11011580</v>
      </c>
      <c r="H50" s="145">
        <f>G50-F50</f>
        <v>0</v>
      </c>
      <c r="I50" s="217" t="s">
        <v>132</v>
      </c>
      <c r="J50" s="92">
        <f>G50-F50</f>
        <v>0</v>
      </c>
      <c r="K50" s="46"/>
    </row>
    <row r="51" spans="2:11" s="1" customFormat="1" ht="36" customHeight="1" thickBot="1">
      <c r="B51" s="156"/>
      <c r="C51" s="8"/>
      <c r="D51" s="263"/>
      <c r="E51" s="218"/>
      <c r="F51" s="287"/>
      <c r="G51" s="287"/>
      <c r="H51" s="148"/>
      <c r="I51" s="219" t="s">
        <v>149</v>
      </c>
      <c r="J51" s="92"/>
      <c r="K51" s="46"/>
    </row>
    <row r="52" spans="2:11" s="1" customFormat="1" ht="92.25" customHeight="1">
      <c r="B52" s="2"/>
      <c r="C52" s="4"/>
      <c r="D52" s="26"/>
      <c r="E52" s="194"/>
      <c r="F52" s="216"/>
      <c r="G52" s="216"/>
      <c r="H52" s="145"/>
      <c r="I52" s="215" t="s">
        <v>139</v>
      </c>
      <c r="J52" s="92"/>
      <c r="K52" s="46"/>
    </row>
    <row r="53" spans="2:11" s="1" customFormat="1" ht="56.25" customHeight="1">
      <c r="B53" s="2"/>
      <c r="C53" s="4"/>
      <c r="D53" s="26"/>
      <c r="E53" s="194"/>
      <c r="F53" s="248"/>
      <c r="G53" s="216"/>
      <c r="H53" s="249"/>
      <c r="I53" s="215" t="s">
        <v>141</v>
      </c>
      <c r="J53" s="92"/>
      <c r="K53" s="46"/>
    </row>
    <row r="54" spans="2:11" s="1" customFormat="1" ht="44.25" customHeight="1">
      <c r="B54" s="2"/>
      <c r="C54" s="4"/>
      <c r="D54" s="26"/>
      <c r="E54" s="194"/>
      <c r="F54" s="248"/>
      <c r="G54" s="216"/>
      <c r="H54" s="249"/>
      <c r="I54" s="215" t="s">
        <v>166</v>
      </c>
      <c r="J54" s="92"/>
      <c r="K54" s="46"/>
    </row>
    <row r="55" spans="2:11" s="1" customFormat="1" ht="44.25" customHeight="1" thickBot="1">
      <c r="B55" s="156"/>
      <c r="C55" s="8"/>
      <c r="D55" s="156"/>
      <c r="E55" s="218"/>
      <c r="F55" s="282"/>
      <c r="G55" s="221"/>
      <c r="H55" s="282"/>
      <c r="I55" s="219" t="s">
        <v>140</v>
      </c>
      <c r="J55" s="92"/>
      <c r="K55" s="46">
        <f>2400000+1000000+300000+1500000+500000</f>
        <v>5700000</v>
      </c>
    </row>
    <row r="56" spans="2:11" s="1" customFormat="1" ht="29.25" customHeight="1" thickBot="1">
      <c r="B56" s="24" t="s">
        <v>30</v>
      </c>
      <c r="C56" s="17" t="s">
        <v>31</v>
      </c>
      <c r="D56" s="23" t="s">
        <v>14</v>
      </c>
      <c r="E56" s="10" t="e">
        <f>#REF!+E57+#REF!</f>
        <v>#REF!</v>
      </c>
      <c r="F56" s="122">
        <f>F57</f>
        <v>47192680</v>
      </c>
      <c r="G56" s="121">
        <f>G57</f>
        <v>47192680</v>
      </c>
      <c r="H56" s="147">
        <f aca="true" t="shared" si="2" ref="H56:H71">G56-F56</f>
        <v>0</v>
      </c>
      <c r="I56" s="278"/>
      <c r="J56" s="91">
        <f t="shared" si="0"/>
        <v>0</v>
      </c>
      <c r="K56" s="46"/>
    </row>
    <row r="57" spans="2:11" s="1" customFormat="1" ht="85.5" customHeight="1" thickBot="1">
      <c r="B57" s="187" t="s">
        <v>77</v>
      </c>
      <c r="C57" s="8"/>
      <c r="D57" s="169" t="s">
        <v>32</v>
      </c>
      <c r="E57" s="160">
        <v>3000000</v>
      </c>
      <c r="F57" s="160">
        <f>662000+6500000+619000+39411680</f>
        <v>47192680</v>
      </c>
      <c r="G57" s="160">
        <v>47192680</v>
      </c>
      <c r="H57" s="148">
        <f t="shared" si="2"/>
        <v>0</v>
      </c>
      <c r="I57" s="161" t="s">
        <v>135</v>
      </c>
      <c r="J57" s="92">
        <f t="shared" si="0"/>
        <v>0</v>
      </c>
      <c r="K57" s="46">
        <f>5000000+38000000+500000+500000</f>
        <v>44000000</v>
      </c>
    </row>
    <row r="58" spans="2:11" s="9" customFormat="1" ht="24.75" customHeight="1" thickBot="1">
      <c r="B58" s="2" t="s">
        <v>15</v>
      </c>
      <c r="C58" s="4" t="s">
        <v>15</v>
      </c>
      <c r="D58" s="164" t="s">
        <v>14</v>
      </c>
      <c r="E58" s="165">
        <f>SUM(E59:E67)</f>
        <v>19085000</v>
      </c>
      <c r="F58" s="166">
        <f>SUM(F59:F67)</f>
        <v>13793290</v>
      </c>
      <c r="G58" s="167">
        <f>SUM(G59:G67)</f>
        <v>13793290</v>
      </c>
      <c r="H58" s="168">
        <f t="shared" si="2"/>
        <v>0</v>
      </c>
      <c r="I58" s="268"/>
      <c r="J58" s="91">
        <f t="shared" si="0"/>
        <v>0</v>
      </c>
      <c r="K58" s="57"/>
    </row>
    <row r="59" spans="2:11" s="9" customFormat="1" ht="34.5" customHeight="1">
      <c r="B59" s="4"/>
      <c r="C59" s="4"/>
      <c r="D59" s="170" t="s">
        <v>33</v>
      </c>
      <c r="E59" s="93">
        <f>10400000+780000</f>
        <v>11180000</v>
      </c>
      <c r="F59" s="93">
        <v>3864960</v>
      </c>
      <c r="G59" s="93">
        <v>3864960</v>
      </c>
      <c r="H59" s="146">
        <f t="shared" si="2"/>
        <v>0</v>
      </c>
      <c r="I59" s="200" t="s">
        <v>165</v>
      </c>
      <c r="J59" s="92">
        <f t="shared" si="0"/>
        <v>0</v>
      </c>
      <c r="K59" s="57"/>
    </row>
    <row r="60" spans="2:11" s="9" customFormat="1" ht="66" customHeight="1">
      <c r="B60" s="4"/>
      <c r="C60" s="4"/>
      <c r="D60" s="199" t="s">
        <v>95</v>
      </c>
      <c r="E60" s="5"/>
      <c r="F60" s="246">
        <v>0</v>
      </c>
      <c r="G60" s="246">
        <v>0</v>
      </c>
      <c r="H60" s="146">
        <f t="shared" si="2"/>
        <v>0</v>
      </c>
      <c r="I60" s="204" t="s">
        <v>162</v>
      </c>
      <c r="J60" s="92">
        <f t="shared" si="0"/>
        <v>0</v>
      </c>
      <c r="K60" s="57"/>
    </row>
    <row r="61" spans="2:11" s="9" customFormat="1" ht="53.25" customHeight="1">
      <c r="B61" s="4"/>
      <c r="C61" s="56"/>
      <c r="D61" s="37" t="s">
        <v>67</v>
      </c>
      <c r="E61" s="3"/>
      <c r="F61" s="3">
        <v>4389000</v>
      </c>
      <c r="G61" s="3">
        <v>4389000</v>
      </c>
      <c r="H61" s="146">
        <f t="shared" si="2"/>
        <v>0</v>
      </c>
      <c r="I61" s="36" t="s">
        <v>124</v>
      </c>
      <c r="J61" s="92">
        <f t="shared" si="0"/>
        <v>0</v>
      </c>
      <c r="K61" s="57"/>
    </row>
    <row r="62" spans="2:11" s="9" customFormat="1" ht="62.25" customHeight="1">
      <c r="B62" s="4"/>
      <c r="C62" s="4"/>
      <c r="D62" s="37" t="s">
        <v>34</v>
      </c>
      <c r="E62" s="3">
        <f>2040000+510000</f>
        <v>2550000</v>
      </c>
      <c r="F62" s="3">
        <v>1900000</v>
      </c>
      <c r="G62" s="3">
        <v>1900000</v>
      </c>
      <c r="H62" s="146">
        <f t="shared" si="2"/>
        <v>0</v>
      </c>
      <c r="I62" s="36" t="s">
        <v>142</v>
      </c>
      <c r="J62" s="92">
        <f t="shared" si="0"/>
        <v>0</v>
      </c>
      <c r="K62" s="57"/>
    </row>
    <row r="63" spans="2:11" s="9" customFormat="1" ht="45.75" customHeight="1">
      <c r="B63" s="4"/>
      <c r="C63" s="4"/>
      <c r="D63" s="37" t="s">
        <v>35</v>
      </c>
      <c r="E63" s="3">
        <f>2125000+850000</f>
        <v>2975000</v>
      </c>
      <c r="F63" s="246">
        <v>0</v>
      </c>
      <c r="G63" s="246">
        <v>0</v>
      </c>
      <c r="H63" s="146">
        <f t="shared" si="2"/>
        <v>0</v>
      </c>
      <c r="I63" s="36" t="s">
        <v>125</v>
      </c>
      <c r="J63" s="92">
        <f t="shared" si="0"/>
        <v>0</v>
      </c>
      <c r="K63" s="57"/>
    </row>
    <row r="64" spans="2:11" s="9" customFormat="1" ht="54.75" customHeight="1" thickBot="1">
      <c r="B64" s="8"/>
      <c r="C64" s="8"/>
      <c r="D64" s="288" t="s">
        <v>60</v>
      </c>
      <c r="E64" s="160">
        <f>1500000+500000</f>
        <v>2000000</v>
      </c>
      <c r="F64" s="160">
        <v>1000000</v>
      </c>
      <c r="G64" s="160">
        <v>1000000</v>
      </c>
      <c r="H64" s="148">
        <f t="shared" si="2"/>
        <v>0</v>
      </c>
      <c r="I64" s="161" t="s">
        <v>136</v>
      </c>
      <c r="J64" s="92">
        <f t="shared" si="0"/>
        <v>0</v>
      </c>
      <c r="K64" s="57"/>
    </row>
    <row r="65" spans="2:11" s="9" customFormat="1" ht="52.5" customHeight="1">
      <c r="B65" s="17"/>
      <c r="C65" s="17"/>
      <c r="D65" s="170" t="s">
        <v>36</v>
      </c>
      <c r="E65" s="93">
        <f>180000+200000</f>
        <v>380000</v>
      </c>
      <c r="F65" s="93">
        <f>79620+200000+563510</f>
        <v>843130</v>
      </c>
      <c r="G65" s="93">
        <v>843130</v>
      </c>
      <c r="H65" s="184">
        <f t="shared" si="2"/>
        <v>0</v>
      </c>
      <c r="I65" s="185" t="s">
        <v>126</v>
      </c>
      <c r="J65" s="92">
        <f t="shared" si="0"/>
        <v>0</v>
      </c>
      <c r="K65" s="57"/>
    </row>
    <row r="66" spans="2:11" s="9" customFormat="1" ht="50.25" customHeight="1">
      <c r="B66" s="4"/>
      <c r="C66" s="4"/>
      <c r="D66" s="50" t="s">
        <v>62</v>
      </c>
      <c r="E66" s="182">
        <v>0</v>
      </c>
      <c r="F66" s="6">
        <v>1796200</v>
      </c>
      <c r="G66" s="6">
        <v>1796200</v>
      </c>
      <c r="H66" s="146">
        <f t="shared" si="2"/>
        <v>0</v>
      </c>
      <c r="I66" s="30" t="s">
        <v>127</v>
      </c>
      <c r="J66" s="92">
        <f t="shared" si="0"/>
        <v>0</v>
      </c>
      <c r="K66" s="57">
        <f>2400000+2000000+100000</f>
        <v>4500000</v>
      </c>
    </row>
    <row r="67" spans="2:11" s="9" customFormat="1" ht="44.25" customHeight="1" thickBot="1">
      <c r="B67" s="8"/>
      <c r="C67" s="8"/>
      <c r="D67" s="55" t="s">
        <v>37</v>
      </c>
      <c r="E67" s="59">
        <v>0</v>
      </c>
      <c r="F67" s="247">
        <v>0</v>
      </c>
      <c r="G67" s="247">
        <v>0</v>
      </c>
      <c r="H67" s="148">
        <f t="shared" si="2"/>
        <v>0</v>
      </c>
      <c r="I67" s="171" t="s">
        <v>129</v>
      </c>
      <c r="J67" s="92">
        <f t="shared" si="0"/>
        <v>0</v>
      </c>
      <c r="K67" s="57"/>
    </row>
    <row r="68" spans="2:11" s="9" customFormat="1" ht="44.25" customHeight="1" thickBot="1">
      <c r="B68" s="17" t="s">
        <v>96</v>
      </c>
      <c r="C68" s="17" t="s">
        <v>96</v>
      </c>
      <c r="D68" s="23" t="s">
        <v>14</v>
      </c>
      <c r="E68" s="23" t="s">
        <v>14</v>
      </c>
      <c r="F68" s="242">
        <f>F69</f>
        <v>60000000</v>
      </c>
      <c r="G68" s="242">
        <f>G69</f>
        <v>60000000</v>
      </c>
      <c r="H68" s="243">
        <f t="shared" si="2"/>
        <v>0</v>
      </c>
      <c r="I68" s="200"/>
      <c r="J68" s="92"/>
      <c r="K68" s="57"/>
    </row>
    <row r="69" spans="2:11" s="9" customFormat="1" ht="44.25" customHeight="1" thickBot="1">
      <c r="B69" s="8"/>
      <c r="C69" s="8"/>
      <c r="D69" s="212" t="s">
        <v>97</v>
      </c>
      <c r="E69" s="201"/>
      <c r="F69" s="202">
        <f>60000000</f>
        <v>60000000</v>
      </c>
      <c r="G69" s="202">
        <v>60000000</v>
      </c>
      <c r="H69" s="159">
        <f t="shared" si="2"/>
        <v>0</v>
      </c>
      <c r="I69" s="203" t="s">
        <v>128</v>
      </c>
      <c r="J69" s="92">
        <f>G69-F69</f>
        <v>0</v>
      </c>
      <c r="K69" s="57"/>
    </row>
    <row r="70" spans="2:11" s="9" customFormat="1" ht="36.75" customHeight="1" thickBot="1">
      <c r="B70" s="17" t="s">
        <v>1</v>
      </c>
      <c r="C70" s="17" t="s">
        <v>1</v>
      </c>
      <c r="D70" s="23" t="s">
        <v>14</v>
      </c>
      <c r="E70" s="95">
        <f>SUM(E71:E71)</f>
        <v>4680000</v>
      </c>
      <c r="F70" s="123">
        <f>SUM(F71:F71)</f>
        <v>2001846</v>
      </c>
      <c r="G70" s="154">
        <f>SUM(G71:G71)</f>
        <v>2001846</v>
      </c>
      <c r="H70" s="147">
        <f t="shared" si="2"/>
        <v>0</v>
      </c>
      <c r="I70" s="54"/>
      <c r="J70" s="91">
        <f t="shared" si="0"/>
        <v>0</v>
      </c>
      <c r="K70" s="57"/>
    </row>
    <row r="71" spans="2:11" s="9" customFormat="1" ht="54" customHeight="1" thickBot="1">
      <c r="B71" s="4"/>
      <c r="C71" s="4"/>
      <c r="D71" s="35" t="s">
        <v>1</v>
      </c>
      <c r="E71" s="95">
        <v>4680000</v>
      </c>
      <c r="F71" s="94">
        <f>2001846</f>
        <v>2001846</v>
      </c>
      <c r="G71" s="94">
        <v>2001846</v>
      </c>
      <c r="H71" s="159">
        <f t="shared" si="2"/>
        <v>0</v>
      </c>
      <c r="I71" s="172" t="s">
        <v>131</v>
      </c>
      <c r="J71" s="92">
        <f t="shared" si="0"/>
        <v>0</v>
      </c>
      <c r="K71" s="57"/>
    </row>
    <row r="72" spans="2:11" s="9" customFormat="1" ht="34.5" customHeight="1" thickBot="1">
      <c r="B72" s="17" t="s">
        <v>2</v>
      </c>
      <c r="C72" s="17" t="s">
        <v>2</v>
      </c>
      <c r="D72" s="23" t="s">
        <v>14</v>
      </c>
      <c r="E72" s="95">
        <f>SUM(E73)</f>
        <v>4465010</v>
      </c>
      <c r="F72" s="149">
        <f>SUM(F73:F73)</f>
        <v>125087061</v>
      </c>
      <c r="G72" s="124">
        <f>SUM(G73:G73)</f>
        <v>127517394</v>
      </c>
      <c r="H72" s="143">
        <f>H73</f>
        <v>2430333</v>
      </c>
      <c r="I72" s="279"/>
      <c r="J72" s="92">
        <f t="shared" si="0"/>
        <v>2430333</v>
      </c>
      <c r="K72" s="57"/>
    </row>
    <row r="73" spans="2:11" s="9" customFormat="1" ht="32.25" customHeight="1" thickBot="1">
      <c r="B73" s="8"/>
      <c r="C73" s="8"/>
      <c r="D73" s="238" t="s">
        <v>2</v>
      </c>
      <c r="E73" s="201">
        <v>4465010</v>
      </c>
      <c r="F73" s="239">
        <f>124965881+121180</f>
        <v>125087061</v>
      </c>
      <c r="G73" s="239">
        <v>127517394</v>
      </c>
      <c r="H73" s="240">
        <f>G73-F73</f>
        <v>2430333</v>
      </c>
      <c r="I73" s="280"/>
      <c r="J73" s="92">
        <f t="shared" si="0"/>
        <v>2430333</v>
      </c>
      <c r="K73" s="57">
        <f>G73-F73</f>
        <v>2430333</v>
      </c>
    </row>
    <row r="75" spans="11:17" ht="13.5">
      <c r="K75" s="9"/>
      <c r="L75" s="9"/>
      <c r="M75" s="9"/>
      <c r="N75" s="9"/>
      <c r="O75" s="9"/>
      <c r="P75" s="9"/>
      <c r="Q75" s="9"/>
    </row>
    <row r="76" spans="11:17" ht="13.5">
      <c r="K76" s="9"/>
      <c r="L76" s="9"/>
      <c r="M76" s="9"/>
      <c r="N76" s="9"/>
      <c r="O76" s="9"/>
      <c r="P76" s="9"/>
      <c r="Q76" s="9"/>
    </row>
    <row r="77" spans="11:17" ht="13.5">
      <c r="K77" s="9"/>
      <c r="L77" s="9"/>
      <c r="M77" s="9"/>
      <c r="N77" s="9"/>
      <c r="O77" s="9"/>
      <c r="P77" s="9"/>
      <c r="Q77" s="9"/>
    </row>
    <row r="78" spans="6:17" ht="13.5">
      <c r="F78" s="38">
        <f>'2019년세입결산'!F28-'2019년세출결산'!G7</f>
        <v>0</v>
      </c>
      <c r="G78">
        <v>127607394</v>
      </c>
      <c r="K78" s="9"/>
      <c r="L78" s="9"/>
      <c r="M78" s="9"/>
      <c r="N78" s="9"/>
      <c r="O78" s="9"/>
      <c r="P78" s="9"/>
      <c r="Q78" s="9"/>
    </row>
    <row r="79" spans="9:17" ht="13.5">
      <c r="I79" s="38"/>
      <c r="K79" s="9"/>
      <c r="L79" s="9"/>
      <c r="M79" s="9"/>
      <c r="N79" s="9"/>
      <c r="O79" s="9"/>
      <c r="P79" s="9"/>
      <c r="Q79" s="9"/>
    </row>
    <row r="80" spans="7:17" ht="13.5">
      <c r="G80" s="43">
        <f>G78-G73</f>
        <v>90000</v>
      </c>
      <c r="K80" s="9"/>
      <c r="L80" s="9"/>
      <c r="M80" s="9"/>
      <c r="N80" s="9"/>
      <c r="O80" s="9"/>
      <c r="P80" s="9"/>
      <c r="Q80" s="9"/>
    </row>
    <row r="81" spans="11:17" ht="13.5">
      <c r="K81" s="9"/>
      <c r="L81" s="9"/>
      <c r="M81" s="9"/>
      <c r="N81" s="9"/>
      <c r="O81" s="9"/>
      <c r="P81" s="9"/>
      <c r="Q81" s="9"/>
    </row>
    <row r="82" spans="11:17" ht="13.5">
      <c r="K82" s="9"/>
      <c r="L82" s="9"/>
      <c r="M82" s="9"/>
      <c r="N82" s="9"/>
      <c r="O82" s="9"/>
      <c r="P82" s="9"/>
      <c r="Q82" s="9"/>
    </row>
    <row r="83" spans="8:17" ht="13.5">
      <c r="H83" s="12"/>
      <c r="K83" s="9"/>
      <c r="L83" s="9"/>
      <c r="M83" s="9"/>
      <c r="N83" s="9"/>
      <c r="O83" s="9"/>
      <c r="P83" s="9"/>
      <c r="Q83" s="9"/>
    </row>
    <row r="84" spans="8:17" ht="13.5">
      <c r="H84" s="12"/>
      <c r="K84" s="9"/>
      <c r="L84" s="9"/>
      <c r="M84" s="9"/>
      <c r="N84" s="9"/>
      <c r="O84" s="9"/>
      <c r="P84" s="9"/>
      <c r="Q84" s="9"/>
    </row>
    <row r="85" spans="8:17" ht="13.5">
      <c r="H85" s="12"/>
      <c r="K85" s="9"/>
      <c r="L85" s="9"/>
      <c r="M85" s="9"/>
      <c r="N85" s="9"/>
      <c r="O85" s="9"/>
      <c r="P85" s="9"/>
      <c r="Q85" s="9"/>
    </row>
    <row r="86" spans="8:17" ht="13.5">
      <c r="H86" s="12"/>
      <c r="K86" s="9"/>
      <c r="L86" s="9"/>
      <c r="M86" s="9"/>
      <c r="N86" s="9"/>
      <c r="O86" s="9"/>
      <c r="P86" s="9"/>
      <c r="Q86" s="9"/>
    </row>
    <row r="87" spans="8:17" ht="13.5">
      <c r="H87" s="12"/>
      <c r="K87" s="9"/>
      <c r="L87" s="9"/>
      <c r="M87" s="9"/>
      <c r="N87" s="9"/>
      <c r="O87" s="9"/>
      <c r="P87" s="9"/>
      <c r="Q87" s="9"/>
    </row>
    <row r="88" spans="8:17" ht="13.5">
      <c r="H88" s="12"/>
      <c r="K88" s="9"/>
      <c r="L88" s="9"/>
      <c r="M88" s="9"/>
      <c r="N88" s="9"/>
      <c r="O88" s="9"/>
      <c r="P88" s="9"/>
      <c r="Q88" s="9"/>
    </row>
    <row r="89" spans="6:17" ht="13.5">
      <c r="F89" s="38"/>
      <c r="G89" s="38">
        <f>'2019년세입결산'!F28</f>
        <v>1137306160</v>
      </c>
      <c r="H89" s="12"/>
      <c r="K89" s="9"/>
      <c r="L89" s="9"/>
      <c r="M89" s="9"/>
      <c r="N89" s="9"/>
      <c r="O89" s="9"/>
      <c r="P89" s="9"/>
      <c r="Q89" s="9"/>
    </row>
    <row r="90" spans="7:17" ht="13.5">
      <c r="G90" s="38">
        <f>G7</f>
        <v>1137306160</v>
      </c>
      <c r="H90" s="12"/>
      <c r="K90" s="9"/>
      <c r="L90" s="9"/>
      <c r="M90" s="9"/>
      <c r="N90" s="9"/>
      <c r="O90" s="9"/>
      <c r="P90" s="9"/>
      <c r="Q90" s="9"/>
    </row>
    <row r="91" spans="7:17" ht="13.5">
      <c r="G91" s="38">
        <f>G89-G90</f>
        <v>0</v>
      </c>
      <c r="H91" s="12"/>
      <c r="K91" s="9"/>
      <c r="L91" s="9"/>
      <c r="M91" s="9"/>
      <c r="N91" s="9"/>
      <c r="O91" s="9"/>
      <c r="P91" s="9"/>
      <c r="Q91" s="9"/>
    </row>
    <row r="92" spans="7:17" ht="13.5">
      <c r="G92" s="43"/>
      <c r="H92" s="12"/>
      <c r="K92" s="9"/>
      <c r="L92" s="9"/>
      <c r="M92" s="9"/>
      <c r="N92" s="9"/>
      <c r="O92" s="9"/>
      <c r="P92" s="9"/>
      <c r="Q92" s="9"/>
    </row>
    <row r="93" spans="6:17" ht="13.5">
      <c r="F93" s="38"/>
      <c r="G93" s="38"/>
      <c r="H93" s="12"/>
      <c r="K93" s="9"/>
      <c r="L93" s="9"/>
      <c r="M93" s="9"/>
      <c r="N93" s="9"/>
      <c r="O93" s="9"/>
      <c r="P93" s="9"/>
      <c r="Q93" s="9"/>
    </row>
    <row r="94" spans="8:17" ht="13.5">
      <c r="H94" s="12">
        <v>0</v>
      </c>
      <c r="K94" s="9"/>
      <c r="L94" s="9"/>
      <c r="M94" s="9"/>
      <c r="N94" s="9"/>
      <c r="O94" s="9"/>
      <c r="P94" s="9"/>
      <c r="Q94" s="9"/>
    </row>
    <row r="95" spans="8:17" ht="13.5">
      <c r="H95" s="12"/>
      <c r="K95" s="9"/>
      <c r="L95" s="9"/>
      <c r="M95" s="9"/>
      <c r="N95" s="9"/>
      <c r="O95" s="9"/>
      <c r="P95" s="9"/>
      <c r="Q95" s="9"/>
    </row>
    <row r="96" spans="8:17" ht="13.5">
      <c r="H96" s="12"/>
      <c r="K96" s="9"/>
      <c r="L96" s="9"/>
      <c r="M96" s="9"/>
      <c r="N96" s="9"/>
      <c r="O96" s="9"/>
      <c r="P96" s="9"/>
      <c r="Q96" s="9"/>
    </row>
    <row r="97" spans="6:17" ht="13.5">
      <c r="F97" s="38">
        <f>F7-'2019년세입결산'!E28</f>
        <v>0</v>
      </c>
      <c r="H97" s="12"/>
      <c r="K97" s="9"/>
      <c r="L97" s="9"/>
      <c r="M97" s="9"/>
      <c r="N97" s="9"/>
      <c r="O97" s="9"/>
      <c r="P97" s="9"/>
      <c r="Q97" s="9"/>
    </row>
    <row r="98" spans="8:17" ht="13.5">
      <c r="H98" s="12"/>
      <c r="K98" s="9"/>
      <c r="L98" s="9"/>
      <c r="M98" s="9"/>
      <c r="N98" s="9"/>
      <c r="O98" s="9"/>
      <c r="P98" s="9"/>
      <c r="Q98" s="9"/>
    </row>
    <row r="99" spans="8:17" ht="13.5">
      <c r="H99" s="12"/>
      <c r="K99" s="9"/>
      <c r="L99" s="9"/>
      <c r="M99" s="9"/>
      <c r="N99" s="9"/>
      <c r="O99" s="9"/>
      <c r="P99" s="9"/>
      <c r="Q99" s="9"/>
    </row>
    <row r="100" spans="8:17" ht="13.5">
      <c r="H100" s="12"/>
      <c r="K100" s="9"/>
      <c r="L100" s="9"/>
      <c r="M100" s="9"/>
      <c r="N100" s="9"/>
      <c r="O100" s="9"/>
      <c r="P100" s="9"/>
      <c r="Q100" s="9"/>
    </row>
  </sheetData>
  <sheetProtection/>
  <mergeCells count="19">
    <mergeCell ref="D47:D48"/>
    <mergeCell ref="F47:F48"/>
    <mergeCell ref="G47:G48"/>
    <mergeCell ref="H47:H48"/>
    <mergeCell ref="D39:D40"/>
    <mergeCell ref="F39:F40"/>
    <mergeCell ref="G39:G40"/>
    <mergeCell ref="H39:H40"/>
    <mergeCell ref="D45:D46"/>
    <mergeCell ref="F45:F46"/>
    <mergeCell ref="G45:G46"/>
    <mergeCell ref="H45:H46"/>
    <mergeCell ref="H5:H6"/>
    <mergeCell ref="I5:I6"/>
    <mergeCell ref="D28:D29"/>
    <mergeCell ref="E5:E6"/>
    <mergeCell ref="F5:F6"/>
    <mergeCell ref="G5:G6"/>
    <mergeCell ref="D19:D24"/>
  </mergeCells>
  <printOptions/>
  <pageMargins left="0" right="0" top="0.3937007874015748" bottom="0.3937007874015748" header="0" footer="0.3149606299212598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성안가정도우미파견센타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송문빈</dc:creator>
  <cp:keywords/>
  <dc:description/>
  <cp:lastModifiedBy>User</cp:lastModifiedBy>
  <cp:lastPrinted>2020-03-31T06:20:47Z</cp:lastPrinted>
  <dcterms:created xsi:type="dcterms:W3CDTF">2007-04-06T04:23:55Z</dcterms:created>
  <dcterms:modified xsi:type="dcterms:W3CDTF">2020-05-24T23:48:23Z</dcterms:modified>
  <cp:category/>
  <cp:version/>
  <cp:contentType/>
  <cp:contentStatus/>
</cp:coreProperties>
</file>