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85" tabRatio="896" activeTab="3"/>
  </bookViews>
  <sheets>
    <sheet name="표지" sheetId="1" r:id="rId1"/>
    <sheet name="총괄(2023년예산)" sheetId="2" r:id="rId2"/>
    <sheet name="2023세입예산" sheetId="3" r:id="rId3"/>
    <sheet name="2023세출예산" sheetId="4" r:id="rId4"/>
  </sheets>
  <definedNames>
    <definedName name="_xlnm.Print_Area" localSheetId="3">'2023세출예산'!$A$1:$I$70</definedName>
    <definedName name="_xlnm.Print_Titles" localSheetId="2">'2023세입예산'!$3:$5</definedName>
    <definedName name="_xlnm.Print_Titles" localSheetId="3">'2023세출예산'!$3:$6</definedName>
  </definedNames>
  <calcPr fullCalcOnLoad="1"/>
</workbook>
</file>

<file path=xl/sharedStrings.xml><?xml version="1.0" encoding="utf-8"?>
<sst xmlns="http://schemas.openxmlformats.org/spreadsheetml/2006/main" count="229" uniqueCount="187">
  <si>
    <t>잡지출</t>
  </si>
  <si>
    <t>예비비</t>
  </si>
  <si>
    <t>예산대비</t>
  </si>
  <si>
    <t>후원금
수  입</t>
  </si>
  <si>
    <t>이월금</t>
  </si>
  <si>
    <t>(단위:  원)</t>
  </si>
  <si>
    <t>과목</t>
  </si>
  <si>
    <t>산출근거</t>
  </si>
  <si>
    <t>관</t>
  </si>
  <si>
    <t>항</t>
  </si>
  <si>
    <t>목</t>
  </si>
  <si>
    <t>소  계</t>
  </si>
  <si>
    <t>잡수입</t>
  </si>
  <si>
    <t>기타예금
이자수입</t>
  </si>
  <si>
    <t>합  계</t>
  </si>
  <si>
    <t>..</t>
  </si>
  <si>
    <t>예산액</t>
  </si>
  <si>
    <t>기관
운영비</t>
  </si>
  <si>
    <t>회의비</t>
  </si>
  <si>
    <t>여비</t>
  </si>
  <si>
    <t>수용비및
수수료</t>
  </si>
  <si>
    <t>차량비</t>
  </si>
  <si>
    <t>자산
취득비</t>
  </si>
  <si>
    <t>밑반찬
서비스</t>
  </si>
  <si>
    <t>명절떡
나누기</t>
  </si>
  <si>
    <t>김장김치
나누기</t>
  </si>
  <si>
    <t>기타사업비</t>
  </si>
  <si>
    <t>홍보비</t>
  </si>
  <si>
    <t>(단위: 원)</t>
  </si>
  <si>
    <t>기   타
잡수입</t>
  </si>
  <si>
    <t>1. 총괄표</t>
  </si>
  <si>
    <t>비지정
후원금</t>
  </si>
  <si>
    <t>구      분</t>
  </si>
  <si>
    <t>세입</t>
  </si>
  <si>
    <t>잡   수   입</t>
  </si>
  <si>
    <t>세출</t>
  </si>
  <si>
    <t>인   건   비</t>
  </si>
  <si>
    <t>업무추진비</t>
  </si>
  <si>
    <t>시   설   비</t>
  </si>
  <si>
    <t>사   업   비</t>
  </si>
  <si>
    <t>잡   지   출</t>
  </si>
  <si>
    <t>예   비   비</t>
  </si>
  <si>
    <t>후원금
수입</t>
  </si>
  <si>
    <t>직원교육
및간담회</t>
  </si>
  <si>
    <t>지정
후원금</t>
  </si>
  <si>
    <t>크리스마스
선물나누기</t>
  </si>
  <si>
    <t>2. 세 입</t>
  </si>
  <si>
    <t>보조금수입</t>
  </si>
  <si>
    <t>이   월   금</t>
  </si>
  <si>
    <t>후원금수입</t>
  </si>
  <si>
    <t>3. 세 출</t>
  </si>
  <si>
    <t>기타
운영비</t>
  </si>
  <si>
    <t>직책
보조비</t>
  </si>
  <si>
    <t>전입금</t>
  </si>
  <si>
    <t>전입금</t>
  </si>
  <si>
    <t>수입</t>
  </si>
  <si>
    <t>지출</t>
  </si>
  <si>
    <t>`</t>
  </si>
  <si>
    <t>전   입   금</t>
  </si>
  <si>
    <t xml:space="preserve">
사회보험
부담금</t>
  </si>
  <si>
    <t>공공요금 및 각종
세금공과금</t>
  </si>
  <si>
    <t>보조금
수입</t>
  </si>
  <si>
    <t>과 목</t>
  </si>
  <si>
    <t>이용자부담금수입</t>
  </si>
  <si>
    <t>렌탈비용 추가</t>
  </si>
  <si>
    <t>합계</t>
  </si>
  <si>
    <t>소계</t>
  </si>
  <si>
    <t>본인부담금
수입</t>
  </si>
  <si>
    <t xml:space="preserve">                    </t>
  </si>
  <si>
    <t>전년도
이월금</t>
  </si>
  <si>
    <t>전년도
이월금
(후원금)</t>
  </si>
  <si>
    <t>증 - 감</t>
  </si>
  <si>
    <t>구성비</t>
  </si>
  <si>
    <t xml:space="preserve"> </t>
  </si>
  <si>
    <t>.</t>
  </si>
  <si>
    <t>각종수당</t>
  </si>
  <si>
    <t xml:space="preserve">
각종수당
</t>
  </si>
  <si>
    <t>업
무
추
진
비</t>
  </si>
  <si>
    <t>가산금
수입</t>
  </si>
  <si>
    <t>법인
전입금</t>
  </si>
  <si>
    <t>야외나들이</t>
  </si>
  <si>
    <t>기타보조금</t>
  </si>
  <si>
    <t>성안노인복지센터</t>
  </si>
  <si>
    <t>사
무
비</t>
  </si>
  <si>
    <t>인
건
비</t>
  </si>
  <si>
    <t>급  여</t>
  </si>
  <si>
    <t>재
산
조
성
비</t>
  </si>
  <si>
    <t>시
설
비</t>
  </si>
  <si>
    <t>운
영
비</t>
  </si>
  <si>
    <t>사
업
비</t>
  </si>
  <si>
    <t>요양
급여
수입</t>
  </si>
  <si>
    <t>이용
비용
수입</t>
  </si>
  <si>
    <t>장기요양
급여수입</t>
  </si>
  <si>
    <t>시·군·구
보조금</t>
  </si>
  <si>
    <r>
      <t xml:space="preserve"> ▪ 가족수당                       480,000원
</t>
    </r>
    <r>
      <rPr>
        <sz val="9"/>
        <color indexed="8"/>
        <rFont val="굴림"/>
        <family val="3"/>
      </rPr>
      <t xml:space="preserve">  </t>
    </r>
    <r>
      <rPr>
        <b/>
        <sz val="9"/>
        <color indexed="8"/>
        <rFont val="굴림"/>
        <family val="3"/>
      </rPr>
      <t>팀장</t>
    </r>
    <r>
      <rPr>
        <sz val="9"/>
        <color indexed="8"/>
        <rFont val="굴림"/>
        <family val="3"/>
      </rPr>
      <t xml:space="preserve"> 20,000원x12개월=240,000원
  </t>
    </r>
    <r>
      <rPr>
        <b/>
        <sz val="9"/>
        <color indexed="8"/>
        <rFont val="굴림"/>
        <family val="3"/>
      </rPr>
      <t>사회복지사</t>
    </r>
    <r>
      <rPr>
        <sz val="9"/>
        <color indexed="8"/>
        <rFont val="굴림"/>
        <family val="3"/>
      </rPr>
      <t xml:space="preserve"> 20,000원x12개월=240,000원</t>
    </r>
  </si>
  <si>
    <t>자원봉사자ㆍ후원자
만남의날</t>
  </si>
  <si>
    <t>사회복지법인
성안복지재단</t>
  </si>
  <si>
    <t>(장기요양)</t>
  </si>
  <si>
    <t>운   영   비</t>
  </si>
  <si>
    <t>요양급여수입</t>
  </si>
  <si>
    <t>이용
부담금수입</t>
  </si>
  <si>
    <t>적립금및준비금</t>
  </si>
  <si>
    <t>운영충당
적립금</t>
  </si>
  <si>
    <t>시설환경
개선준비금</t>
  </si>
  <si>
    <t xml:space="preserve">
운영충당적립금 및 환경개선 준비금</t>
  </si>
  <si>
    <t xml:space="preserve">
적립금
및
준비금</t>
  </si>
  <si>
    <t xml:space="preserve">퇴직
연금
</t>
  </si>
  <si>
    <t>▪ 크리스마스 선물                   
  40,000원x50명=2,000,000원</t>
  </si>
  <si>
    <t xml:space="preserve"> ▪ 운영충당적립금  73,000,000원</t>
  </si>
  <si>
    <t xml:space="preserve"> ▪ 시설환경개선준비금 3,000,000원</t>
  </si>
  <si>
    <t>사
무
비</t>
  </si>
  <si>
    <t>2022년 예산액</t>
  </si>
  <si>
    <t>2023년 예산액</t>
  </si>
  <si>
    <t>2023 예산액</t>
  </si>
  <si>
    <t xml:space="preserve"> ▪ 시간외수당                  2,000,000원</t>
  </si>
  <si>
    <t xml:space="preserve"> ▪ 도내 참가비 및 경비         1,000,000원
 ▪ 도외 참가비 및 경비         1,000,000원</t>
  </si>
  <si>
    <t>▪ 통신요금                          800,000원
 ▪ 보험료                           7,000,000원
 ▪ 우편요금                          500,000원</t>
  </si>
  <si>
    <t>▪ 기타                                 500,000원</t>
  </si>
  <si>
    <t xml:space="preserve">▪ 김장김치 나누기                    
   40,000원x50명=2,000,000원                    </t>
  </si>
  <si>
    <t>▪ 송년의 밤 행사    1,600,000원  
 ▪ 자원봉사자 상품권 구입 
   50,000원x4명x2회=400,000원</t>
  </si>
  <si>
    <t>▪ 직원회의 간식     
  100,000원x6회=600,000원</t>
  </si>
  <si>
    <t>반환금</t>
  </si>
  <si>
    <r>
      <rPr>
        <b/>
        <sz val="9"/>
        <color indexed="8"/>
        <rFont val="굴림"/>
        <family val="3"/>
      </rPr>
      <t xml:space="preserve">▪ 사회복지사 1 (8호봉-선임)  </t>
    </r>
    <r>
      <rPr>
        <sz val="9"/>
        <color indexed="8"/>
        <rFont val="굴림"/>
        <family val="3"/>
      </rPr>
      <t xml:space="preserve">
  2,574,800원x12개월 = 30,897,600</t>
    </r>
    <r>
      <rPr>
        <sz val="9"/>
        <color indexed="8"/>
        <rFont val="굴림"/>
        <family val="3"/>
      </rPr>
      <t>원</t>
    </r>
  </si>
  <si>
    <r>
      <rPr>
        <b/>
        <sz val="9"/>
        <color indexed="8"/>
        <rFont val="굴림"/>
        <family val="3"/>
      </rPr>
      <t>▪ 팀장</t>
    </r>
    <r>
      <rPr>
        <sz val="9"/>
        <color indexed="8"/>
        <rFont val="굴림"/>
        <family val="3"/>
      </rPr>
      <t xml:space="preserve"> </t>
    </r>
    <r>
      <rPr>
        <b/>
        <sz val="9"/>
        <color indexed="8"/>
        <rFont val="굴림"/>
        <family val="3"/>
      </rPr>
      <t xml:space="preserve">(10호봉)              </t>
    </r>
    <r>
      <rPr>
        <sz val="9"/>
        <color indexed="8"/>
        <rFont val="굴림"/>
        <family val="3"/>
      </rPr>
      <t xml:space="preserve">
   3,144,200원x12개월 = </t>
    </r>
    <r>
      <rPr>
        <sz val="9"/>
        <color indexed="8"/>
        <rFont val="굴림"/>
        <family val="3"/>
      </rPr>
      <t>37,730,400원</t>
    </r>
  </si>
  <si>
    <r>
      <rPr>
        <b/>
        <sz val="9"/>
        <color indexed="8"/>
        <rFont val="굴림"/>
        <family val="3"/>
      </rPr>
      <t>▪ 센터장(7호봉)</t>
    </r>
    <r>
      <rPr>
        <sz val="9"/>
        <color indexed="8"/>
        <rFont val="굴림"/>
        <family val="3"/>
      </rPr>
      <t xml:space="preserve">                
  3,305,400원x12개월 =  39,664,800</t>
    </r>
    <r>
      <rPr>
        <sz val="9"/>
        <color indexed="8"/>
        <rFont val="굴림"/>
        <family val="3"/>
      </rPr>
      <t>원</t>
    </r>
  </si>
  <si>
    <r>
      <rPr>
        <b/>
        <sz val="9"/>
        <rFont val="굴림"/>
        <family val="3"/>
      </rPr>
      <t>▪ 상근요양보호사(목욕)     50,160,000원</t>
    </r>
    <r>
      <rPr>
        <sz val="9"/>
        <rFont val="굴림"/>
        <family val="3"/>
      </rPr>
      <t xml:space="preserve">
</t>
    </r>
    <r>
      <rPr>
        <b/>
        <sz val="9"/>
        <rFont val="굴림"/>
        <family val="3"/>
      </rPr>
      <t xml:space="preserve"> 목욕전담1</t>
    </r>
    <r>
      <rPr>
        <sz val="9"/>
        <rFont val="굴림"/>
        <family val="3"/>
      </rPr>
      <t xml:space="preserve">
   2,150,000원x12개월 = 25,800,000원
 </t>
    </r>
    <r>
      <rPr>
        <b/>
        <sz val="9"/>
        <rFont val="굴림"/>
        <family val="3"/>
      </rPr>
      <t>목욕전담2</t>
    </r>
    <r>
      <rPr>
        <sz val="9"/>
        <rFont val="굴림"/>
        <family val="3"/>
      </rPr>
      <t xml:space="preserve">
   2,030,000원x12개월 = 24,360,000원</t>
    </r>
  </si>
  <si>
    <t>▪ 직원 처우개선비           29,660,000원</t>
  </si>
  <si>
    <r>
      <rPr>
        <b/>
        <sz val="9"/>
        <color indexed="8"/>
        <rFont val="굴림"/>
        <family val="3"/>
      </rPr>
      <t xml:space="preserve"> ▪ 식비</t>
    </r>
    <r>
      <rPr>
        <sz val="9"/>
        <color indexed="8"/>
        <rFont val="굴림"/>
        <family val="3"/>
      </rPr>
      <t xml:space="preserve">
  100,000원x12개월x10명=12,000,000원</t>
    </r>
  </si>
  <si>
    <r>
      <t xml:space="preserve"> ▪ </t>
    </r>
    <r>
      <rPr>
        <b/>
        <sz val="9"/>
        <color indexed="8"/>
        <rFont val="굴림"/>
        <family val="3"/>
      </rPr>
      <t xml:space="preserve">상근직                                 </t>
    </r>
    <r>
      <rPr>
        <sz val="9"/>
        <color indexed="8"/>
        <rFont val="굴림"/>
        <family val="3"/>
      </rPr>
      <t xml:space="preserve">
 284,983,320원x1/12=23,748,610원</t>
    </r>
  </si>
  <si>
    <t xml:space="preserve"> ▪ 건강보험                </t>
  </si>
  <si>
    <t xml:space="preserve"> ▪ 장기요양             </t>
  </si>
  <si>
    <t xml:space="preserve"> ▪ 국민연금                 </t>
  </si>
  <si>
    <t xml:space="preserve"> ▪ 고용보험             </t>
  </si>
  <si>
    <t>▪ 지정후원금                        0원</t>
  </si>
  <si>
    <r>
      <rPr>
        <b/>
        <sz val="9"/>
        <color indexed="8"/>
        <rFont val="굴림"/>
        <family val="3"/>
      </rPr>
      <t xml:space="preserve"> ▪ 센터장</t>
    </r>
    <r>
      <rPr>
        <sz val="9"/>
        <color indexed="8"/>
        <rFont val="굴림"/>
        <family val="3"/>
      </rPr>
      <t xml:space="preserve">
  150,000원x12개월 =1,800,000원
</t>
    </r>
    <r>
      <rPr>
        <b/>
        <sz val="9"/>
        <color indexed="8"/>
        <rFont val="굴림"/>
        <family val="3"/>
      </rPr>
      <t xml:space="preserve"> ▪ 팀장</t>
    </r>
    <r>
      <rPr>
        <sz val="9"/>
        <color indexed="8"/>
        <rFont val="굴림"/>
        <family val="3"/>
      </rPr>
      <t xml:space="preserve">
  180,000원x9개월+200,000원x3개월
   = 2,220,000원
 ▪ </t>
    </r>
    <r>
      <rPr>
        <b/>
        <sz val="9"/>
        <color indexed="8"/>
        <rFont val="굴림"/>
        <family val="3"/>
      </rPr>
      <t>사회복지사</t>
    </r>
    <r>
      <rPr>
        <sz val="9"/>
        <color indexed="8"/>
        <rFont val="굴림"/>
        <family val="3"/>
      </rPr>
      <t xml:space="preserve">
  170,000원x12개월x2명 = 4,080,000원
 ▪ </t>
    </r>
    <r>
      <rPr>
        <b/>
        <sz val="9"/>
        <color indexed="8"/>
        <rFont val="굴림"/>
        <family val="3"/>
      </rPr>
      <t>상근요양보호사(방문요양)</t>
    </r>
    <r>
      <rPr>
        <sz val="9"/>
        <color indexed="8"/>
        <rFont val="굴림"/>
        <family val="3"/>
      </rPr>
      <t xml:space="preserve">
  200,000원x12개월x2명 = 4,800,000원
 ▪ </t>
    </r>
    <r>
      <rPr>
        <b/>
        <sz val="9"/>
        <color indexed="8"/>
        <rFont val="굴림"/>
        <family val="3"/>
      </rPr>
      <t>상근요양보호사(방문목욕</t>
    </r>
    <r>
      <rPr>
        <sz val="9"/>
        <color indexed="8"/>
        <rFont val="굴림"/>
        <family val="3"/>
      </rPr>
      <t xml:space="preserve">)
  </t>
    </r>
    <r>
      <rPr>
        <b/>
        <sz val="9"/>
        <color indexed="8"/>
        <rFont val="굴림"/>
        <family val="3"/>
      </rPr>
      <t>목욕전담1</t>
    </r>
    <r>
      <rPr>
        <sz val="9"/>
        <color indexed="8"/>
        <rFont val="굴림"/>
        <family val="3"/>
      </rPr>
      <t xml:space="preserve">
   200,000원x12개월x1명 = 2,400,000원
  </t>
    </r>
    <r>
      <rPr>
        <b/>
        <sz val="9"/>
        <color indexed="8"/>
        <rFont val="굴림"/>
        <family val="3"/>
      </rPr>
      <t>목욕전담2</t>
    </r>
    <r>
      <rPr>
        <sz val="9"/>
        <color indexed="8"/>
        <rFont val="굴림"/>
        <family val="3"/>
      </rPr>
      <t xml:space="preserve">
   170,000원x4개월+180,000원x8개월
   = 2,120,000원
</t>
    </r>
    <r>
      <rPr>
        <b/>
        <sz val="9"/>
        <color indexed="8"/>
        <rFont val="굴림"/>
        <family val="3"/>
      </rPr>
      <t xml:space="preserve"> ▪ 시간제요양보호사                </t>
    </r>
    <r>
      <rPr>
        <sz val="9"/>
        <color indexed="8"/>
        <rFont val="굴림"/>
        <family val="3"/>
      </rPr>
      <t xml:space="preserve">
   170,000원x12개월x6명 = 12,240,000원</t>
    </r>
  </si>
  <si>
    <r>
      <rPr>
        <b/>
        <sz val="9"/>
        <color indexed="8"/>
        <rFont val="굴림"/>
        <family val="3"/>
      </rPr>
      <t xml:space="preserve"> 센터장</t>
    </r>
    <r>
      <rPr>
        <sz val="9"/>
        <color indexed="8"/>
        <rFont val="굴림"/>
        <family val="3"/>
      </rPr>
      <t xml:space="preserve">
  150,000원x12개월 =1,800,000원
</t>
    </r>
    <r>
      <rPr>
        <b/>
        <sz val="9"/>
        <color indexed="8"/>
        <rFont val="굴림"/>
        <family val="3"/>
      </rPr>
      <t xml:space="preserve"> 팀장</t>
    </r>
    <r>
      <rPr>
        <sz val="9"/>
        <color indexed="8"/>
        <rFont val="굴림"/>
        <family val="3"/>
      </rPr>
      <t xml:space="preserve">
  180,000원x9개월+200,000원x3개월
   =2,220,000원
 </t>
    </r>
    <r>
      <rPr>
        <b/>
        <sz val="9"/>
        <color indexed="8"/>
        <rFont val="굴림"/>
        <family val="3"/>
      </rPr>
      <t>사회복지사</t>
    </r>
    <r>
      <rPr>
        <sz val="9"/>
        <color indexed="8"/>
        <rFont val="굴림"/>
        <family val="3"/>
      </rPr>
      <t xml:space="preserve">
  170,000원x12개월x2명=4,080,000원
 </t>
    </r>
    <r>
      <rPr>
        <b/>
        <sz val="9"/>
        <color indexed="8"/>
        <rFont val="굴림"/>
        <family val="3"/>
      </rPr>
      <t>상근요양보호사(방문요양)</t>
    </r>
    <r>
      <rPr>
        <sz val="9"/>
        <color indexed="8"/>
        <rFont val="굴림"/>
        <family val="3"/>
      </rPr>
      <t xml:space="preserve">
  200,000원x12개월x2명=4,800,000원
 </t>
    </r>
    <r>
      <rPr>
        <b/>
        <sz val="9"/>
        <color indexed="8"/>
        <rFont val="굴림"/>
        <family val="3"/>
      </rPr>
      <t>상근요양보호사(방문목욕</t>
    </r>
    <r>
      <rPr>
        <sz val="9"/>
        <color indexed="8"/>
        <rFont val="굴림"/>
        <family val="3"/>
      </rPr>
      <t xml:space="preserve">)
  </t>
    </r>
    <r>
      <rPr>
        <b/>
        <sz val="9"/>
        <color indexed="8"/>
        <rFont val="굴림"/>
        <family val="3"/>
      </rPr>
      <t>목욕전담1</t>
    </r>
    <r>
      <rPr>
        <sz val="9"/>
        <color indexed="8"/>
        <rFont val="굴림"/>
        <family val="3"/>
      </rPr>
      <t xml:space="preserve">
   200,000원x12개월x1명=2,400,000원
  </t>
    </r>
    <r>
      <rPr>
        <b/>
        <sz val="9"/>
        <color indexed="8"/>
        <rFont val="굴림"/>
        <family val="3"/>
      </rPr>
      <t>목욕전담2</t>
    </r>
    <r>
      <rPr>
        <sz val="9"/>
        <color indexed="8"/>
        <rFont val="굴림"/>
        <family val="3"/>
      </rPr>
      <t xml:space="preserve">
   170,000원x4개월+180,000원x8개월
   = 2,120,000원
</t>
    </r>
    <r>
      <rPr>
        <b/>
        <sz val="9"/>
        <color indexed="8"/>
        <rFont val="굴림"/>
        <family val="3"/>
      </rPr>
      <t xml:space="preserve"> 시간제요양보호사                </t>
    </r>
    <r>
      <rPr>
        <sz val="9"/>
        <color indexed="8"/>
        <rFont val="굴림"/>
        <family val="3"/>
      </rPr>
      <t xml:space="preserve">
  170,000원x12개월x6명=12,240,000원</t>
    </r>
  </si>
  <si>
    <r>
      <rPr>
        <b/>
        <sz val="9"/>
        <color indexed="8"/>
        <rFont val="굴림"/>
        <family val="3"/>
      </rPr>
      <t xml:space="preserve"> ▪ 방문요양 등급외 운영비</t>
    </r>
    <r>
      <rPr>
        <sz val="9"/>
        <color indexed="8"/>
        <rFont val="굴림"/>
        <family val="3"/>
      </rPr>
      <t xml:space="preserve">
 5,000,000원x4분기 =20,000,000원</t>
    </r>
  </si>
  <si>
    <r>
      <rPr>
        <b/>
        <sz val="9"/>
        <rFont val="굴림"/>
        <family val="3"/>
      </rPr>
      <t>▪ 성안신협</t>
    </r>
    <r>
      <rPr>
        <sz val="9"/>
        <rFont val="굴림"/>
        <family val="3"/>
      </rPr>
      <t xml:space="preserve">                    3,000,000원 
 </t>
    </r>
    <r>
      <rPr>
        <b/>
        <sz val="9"/>
        <rFont val="굴림"/>
        <family val="3"/>
      </rPr>
      <t xml:space="preserve">▪ 김O은 외 14명 </t>
    </r>
    <r>
      <rPr>
        <sz val="9"/>
        <rFont val="굴림"/>
        <family val="3"/>
      </rPr>
      <t xml:space="preserve">            4,000,000원</t>
    </r>
  </si>
  <si>
    <t xml:space="preserve"> ▪ 기타예금이자                1,300,000원</t>
  </si>
  <si>
    <t>▪ 현대카드리워드(캐쉬백)   300,000원</t>
  </si>
  <si>
    <t>▪ 법인전입금                    0원</t>
  </si>
  <si>
    <t xml:space="preserve"> ▪ 자동차세                            500,000원
 ▪ 환경개선부담금                   200,000원
 ▪ 협회비                               800,000원
 ▪ 신원보증                              30,000원
 ▪ 취득세                            3,200,000원
 ▪ 기타                                1,070,000원</t>
  </si>
  <si>
    <t>농협</t>
  </si>
  <si>
    <t>신협</t>
  </si>
  <si>
    <t>보조금</t>
  </si>
  <si>
    <r>
      <t xml:space="preserve">▪ </t>
    </r>
    <r>
      <rPr>
        <b/>
        <sz val="9"/>
        <rFont val="굴림"/>
        <family val="3"/>
      </rPr>
      <t xml:space="preserve">센터장 직무관련             </t>
    </r>
    <r>
      <rPr>
        <sz val="9"/>
        <rFont val="굴림"/>
        <family val="3"/>
      </rPr>
      <t xml:space="preserve">
 400,000원x4분기 = 1,600,000원</t>
    </r>
  </si>
  <si>
    <t>▪ 운영위원회                         
 200,000원x4분기=800,000원</t>
  </si>
  <si>
    <t>▪ 직원 격려 식대              
   700,000원x4분기=2,800,000원</t>
  </si>
  <si>
    <t>인
건
비</t>
  </si>
  <si>
    <r>
      <t xml:space="preserve"> </t>
    </r>
    <r>
      <rPr>
        <b/>
        <sz val="9"/>
        <color indexed="8"/>
        <rFont val="굴림"/>
        <family val="3"/>
      </rPr>
      <t xml:space="preserve"> 상근요양보호사(방문요양)</t>
    </r>
    <r>
      <rPr>
        <sz val="9"/>
        <color indexed="8"/>
        <rFont val="굴림"/>
        <family val="3"/>
      </rPr>
      <t xml:space="preserve">         
    700,000원x2회x2명=2,800,000원
  </t>
    </r>
    <r>
      <rPr>
        <b/>
        <sz val="9"/>
        <color indexed="8"/>
        <rFont val="굴림"/>
        <family val="3"/>
      </rPr>
      <t>상근요양보호사(방문목욕)</t>
    </r>
    <r>
      <rPr>
        <sz val="9"/>
        <color indexed="8"/>
        <rFont val="굴림"/>
        <family val="3"/>
      </rPr>
      <t xml:space="preserve">         
    700,000원x2회x2명=2,800,000원 </t>
    </r>
  </si>
  <si>
    <r>
      <rPr>
        <b/>
        <sz val="9"/>
        <color indexed="8"/>
        <rFont val="굴림"/>
        <family val="3"/>
      </rPr>
      <t xml:space="preserve"> ▪ 장기근속장려금          </t>
    </r>
    <r>
      <rPr>
        <sz val="9"/>
        <color indexed="8"/>
        <rFont val="굴림"/>
        <family val="3"/>
      </rPr>
      <t xml:space="preserve">
  1,695,000원x12개월=20,340,000원</t>
    </r>
  </si>
  <si>
    <r>
      <rPr>
        <b/>
        <sz val="9"/>
        <color indexed="8"/>
        <rFont val="굴림"/>
        <family val="3"/>
      </rPr>
      <t xml:space="preserve"> ▪ 명절수당            19,262,120원</t>
    </r>
    <r>
      <rPr>
        <sz val="9"/>
        <color indexed="8"/>
        <rFont val="굴림"/>
        <family val="3"/>
      </rPr>
      <t xml:space="preserve">
 </t>
    </r>
    <r>
      <rPr>
        <b/>
        <sz val="9"/>
        <color indexed="8"/>
        <rFont val="굴림"/>
        <family val="3"/>
      </rPr>
      <t xml:space="preserve"> 센터장           
</t>
    </r>
    <r>
      <rPr>
        <sz val="9"/>
        <color indexed="8"/>
        <rFont val="굴림"/>
        <family val="3"/>
      </rPr>
      <t xml:space="preserve">     1,983,240원x2회=3,966,480원
  </t>
    </r>
    <r>
      <rPr>
        <b/>
        <sz val="9"/>
        <color indexed="8"/>
        <rFont val="굴림"/>
        <family val="3"/>
      </rPr>
      <t>팀장</t>
    </r>
    <r>
      <rPr>
        <sz val="9"/>
        <color indexed="8"/>
        <rFont val="굴림"/>
        <family val="3"/>
      </rPr>
      <t xml:space="preserve">       
     1,886,520원x2회=3,773,040원</t>
    </r>
    <r>
      <rPr>
        <b/>
        <sz val="9"/>
        <color indexed="8"/>
        <rFont val="굴림"/>
        <family val="3"/>
      </rPr>
      <t xml:space="preserve"> </t>
    </r>
  </si>
  <si>
    <r>
      <t xml:space="preserve">  </t>
    </r>
    <r>
      <rPr>
        <b/>
        <sz val="9"/>
        <color indexed="8"/>
        <rFont val="굴림"/>
        <family val="3"/>
      </rPr>
      <t>▪ 명절수당</t>
    </r>
    <r>
      <rPr>
        <sz val="9"/>
        <color indexed="8"/>
        <rFont val="굴림"/>
        <family val="3"/>
      </rPr>
      <t xml:space="preserve">
  </t>
    </r>
    <r>
      <rPr>
        <b/>
        <sz val="9"/>
        <color indexed="8"/>
        <rFont val="굴림"/>
        <family val="3"/>
      </rPr>
      <t xml:space="preserve">사회복지사 1(선임)   </t>
    </r>
    <r>
      <rPr>
        <sz val="9"/>
        <color indexed="8"/>
        <rFont val="굴림"/>
        <family val="3"/>
      </rPr>
      <t xml:space="preserve">
     1,544,880원x2회=3,089,760원
  </t>
    </r>
    <r>
      <rPr>
        <b/>
        <sz val="9"/>
        <color indexed="8"/>
        <rFont val="굴림"/>
        <family val="3"/>
      </rPr>
      <t xml:space="preserve">사회복지사 2          </t>
    </r>
    <r>
      <rPr>
        <sz val="9"/>
        <color indexed="8"/>
        <rFont val="굴림"/>
        <family val="3"/>
      </rPr>
      <t xml:space="preserve">
     1,416,420원x2회=2,832,840원</t>
    </r>
  </si>
  <si>
    <t xml:space="preserve"> ▪ 복합기임대료                    1,800,000원
 ▪ 프로그램사용료                    800,000원
 ▪ 자가키트구입                    1,000,000원
 ▪ 기타                                1,000,000원</t>
  </si>
  <si>
    <t xml:space="preserve"> ▪ 목욕물품                          2,000,000원
 ▪ 수수료                               600,000원
 ▪ 인쇄비                             1,300,000원
 ▪ 사무용품                          2,500,000원</t>
  </si>
  <si>
    <t xml:space="preserve"> ▪ 감사헌금                       2,000,000원                              
 ▪ 기타                                500,000원</t>
  </si>
  <si>
    <t xml:space="preserve"> ▪ 보조금 반환(예금이자)        2,300원</t>
  </si>
  <si>
    <r>
      <t xml:space="preserve">▪ </t>
    </r>
    <r>
      <rPr>
        <b/>
        <sz val="9"/>
        <color indexed="8"/>
        <rFont val="굴림"/>
        <family val="3"/>
      </rPr>
      <t xml:space="preserve">사회복지사 2 (8호봉)     </t>
    </r>
    <r>
      <rPr>
        <sz val="9"/>
        <color indexed="8"/>
        <rFont val="굴림"/>
        <family val="3"/>
      </rPr>
      <t xml:space="preserve">
   2,360,700원x12개월 = 28,328,400원</t>
    </r>
  </si>
  <si>
    <r>
      <rPr>
        <b/>
        <sz val="9"/>
        <color indexed="8"/>
        <rFont val="굴림"/>
        <family val="3"/>
      </rPr>
      <t>▪ 상근요양보호사(요양)</t>
    </r>
    <r>
      <rPr>
        <sz val="9"/>
        <color indexed="8"/>
        <rFont val="굴림"/>
        <family val="3"/>
      </rPr>
      <t xml:space="preserve">  </t>
    </r>
    <r>
      <rPr>
        <b/>
        <sz val="9"/>
        <color indexed="8"/>
        <rFont val="굴림"/>
        <family val="3"/>
      </rPr>
      <t xml:space="preserve"> </t>
    </r>
    <r>
      <rPr>
        <sz val="9"/>
        <color indexed="8"/>
        <rFont val="굴림"/>
        <family val="3"/>
      </rPr>
      <t xml:space="preserve">             
   2,000,000원x12개월x2명 
   =</t>
    </r>
    <r>
      <rPr>
        <b/>
        <sz val="9"/>
        <color indexed="8"/>
        <rFont val="굴림"/>
        <family val="3"/>
      </rPr>
      <t xml:space="preserve"> </t>
    </r>
    <r>
      <rPr>
        <sz val="9"/>
        <color indexed="8"/>
        <rFont val="굴림"/>
        <family val="3"/>
      </rPr>
      <t>48,000,000원</t>
    </r>
  </si>
  <si>
    <r>
      <t xml:space="preserve">▪ 지도점검 및 업무 간식       200,000원
▪ 기관 및 후원자 방문 비용 지출
                                   200,000원
▪ 경조사비                    2,100,000원
  </t>
    </r>
    <r>
      <rPr>
        <sz val="9"/>
        <rFont val="굴림"/>
        <family val="3"/>
      </rPr>
      <t>100,000원x6회=600,000원</t>
    </r>
    <r>
      <rPr>
        <sz val="9"/>
        <color indexed="8"/>
        <rFont val="굴림"/>
        <family val="3"/>
      </rPr>
      <t xml:space="preserve">
   50,000원x30회=1,500,000원</t>
    </r>
  </si>
  <si>
    <r>
      <t xml:space="preserve">▪ 사무직원 교통통신비             
   </t>
    </r>
    <r>
      <rPr>
        <sz val="9"/>
        <color indexed="10"/>
        <rFont val="굴림"/>
        <family val="3"/>
      </rPr>
      <t>200,000원x12개월x4명=9,600,000원</t>
    </r>
  </si>
  <si>
    <t>▪ 야외나들이                             
  500,000원x2회=1,000,000원</t>
  </si>
  <si>
    <t xml:space="preserve"> ▪ 홍보비                              300,000원</t>
  </si>
  <si>
    <r>
      <rPr>
        <b/>
        <sz val="9"/>
        <rFont val="굴림"/>
        <family val="3"/>
      </rPr>
      <t>▪ 방문요양</t>
    </r>
    <r>
      <rPr>
        <sz val="9"/>
        <rFont val="굴림"/>
        <family val="3"/>
      </rPr>
      <t xml:space="preserve">
 5,000,000원x12개월=60,000,000원     
 ▪ 방문목욕
 783,600원x12개월=9,403,200원</t>
    </r>
  </si>
  <si>
    <t>▪ 추가인력가산금(방문요양)
  : 66,000,000원
 ▪ 추가인력가산금(방문목욕)
  : 14,400,000원</t>
  </si>
  <si>
    <r>
      <rPr>
        <b/>
        <sz val="9"/>
        <rFont val="굴림"/>
        <family val="3"/>
      </rPr>
      <t xml:space="preserve">▪ 방문요양: 825,600,000원
 ▪ 방문목욕: 148,344,000원
 ▪ 장기근속: 20,340,000원 </t>
    </r>
    <r>
      <rPr>
        <sz val="9"/>
        <rFont val="굴림"/>
        <family val="3"/>
      </rPr>
      <t xml:space="preserve">                            </t>
    </r>
  </si>
  <si>
    <r>
      <rPr>
        <b/>
        <sz val="9"/>
        <rFont val="굴림"/>
        <family val="3"/>
      </rPr>
      <t xml:space="preserve">▪ 방문 요양보호사          </t>
    </r>
    <r>
      <rPr>
        <sz val="9"/>
        <rFont val="굴림"/>
        <family val="3"/>
      </rPr>
      <t xml:space="preserve">
 50,000,000원x12개월 = 600,000,000원
</t>
    </r>
    <r>
      <rPr>
        <b/>
        <sz val="9"/>
        <rFont val="굴림"/>
        <family val="3"/>
      </rPr>
      <t>▪ 방문요양 등급외 요양보호사</t>
    </r>
    <r>
      <rPr>
        <sz val="9"/>
        <rFont val="굴림"/>
        <family val="3"/>
      </rPr>
      <t xml:space="preserve">
 12,100원x9명x2회x52주 = 11,325,600원</t>
    </r>
  </si>
  <si>
    <r>
      <t xml:space="preserve"> ▪</t>
    </r>
    <r>
      <rPr>
        <b/>
        <sz val="9"/>
        <color indexed="8"/>
        <rFont val="굴림"/>
        <family val="3"/>
      </rPr>
      <t xml:space="preserve"> 요양보호사</t>
    </r>
    <r>
      <rPr>
        <sz val="9"/>
        <color indexed="8"/>
        <rFont val="굴림"/>
        <family val="3"/>
      </rPr>
      <t xml:space="preserve">
</t>
    </r>
    <r>
      <rPr>
        <sz val="9"/>
        <rFont val="굴림"/>
        <family val="3"/>
      </rPr>
      <t xml:space="preserve"> 644,865,600원x1/12=53,738,800원</t>
    </r>
  </si>
  <si>
    <t xml:space="preserve"> 887,708,920원x7.09%*1/2
 = 31,469,280원</t>
  </si>
  <si>
    <t xml:space="preserve"> 31,469,280원x12.81% = 4,031,210원</t>
  </si>
  <si>
    <t xml:space="preserve">  436,383,320원x4.5% = 19,637,240원</t>
  </si>
  <si>
    <t xml:space="preserve"> 887,708,920원x 1.15% =10,208,650원</t>
  </si>
  <si>
    <r>
      <t xml:space="preserve"> ▪ 산재보험                    
</t>
    </r>
    <r>
      <rPr>
        <sz val="9"/>
        <color indexed="8"/>
        <rFont val="굴림"/>
        <family val="3"/>
      </rPr>
      <t xml:space="preserve"> 887,708,920원x 0.643% =5,707,960원</t>
    </r>
  </si>
  <si>
    <t>장기수입</t>
  </si>
  <si>
    <t>차액</t>
  </si>
  <si>
    <t>지출(시설비제외)</t>
  </si>
  <si>
    <t xml:space="preserve"> ▪ 식재료 전달                              
  17,000원x12개월x40명=8,160,000원</t>
  </si>
  <si>
    <t>▪ 장기요양대상자 방문            
   5,000원x100명=500,000원
 ▪ 독거어르신 지원                1,500,000원
 ▪ 기타                                   500,000원</t>
  </si>
  <si>
    <t>▪ 설명절 선물 나누기            
  30,000원x100명=3,000,000원
 ▪ 추석명절 선물 나누기         
   30,000원x100명=3,000,000원</t>
  </si>
  <si>
    <t>▪ 인센티브                           
  375,000원x40명=15,000,000원</t>
  </si>
  <si>
    <t>▪ 차량유류대                       
  900,000원x12개월=10,800,000원
 ▪ 차량정비                          5,000,000원
 ▪ 출동서비스                           30,000원 
 ▪ 기타                                  470,000원</t>
  </si>
  <si>
    <t>▪ 요양보호사 포상                    
  100,000원x2명x4분기= 800,000원
 ▪ 직원 생일 상품권 구입     
  30,000원x50명=1,500,000원</t>
  </si>
  <si>
    <t>▪ 의복구입
   100,000원x50명=5,000,000원</t>
  </si>
  <si>
    <t>▪ 목욕 관리및 교통통신비        
   100,000원x12회x2명=2,400,000원
 ▪ 요양 관리및 교통통신비    
   100,000원x12회x2명=2,400,000원</t>
  </si>
  <si>
    <t>▪ 사무용품 집기구입           3,000,000원
 ▪ 목욕차량 구입                52,000,000원
 ▪ 방문차량 구입                23,000,000원 
 ▪ 기타                             95,317,306원</t>
  </si>
  <si>
    <t>성안노인복지센터 2023년도 세입·세출 예산서</t>
  </si>
  <si>
    <t>2023년도 예산서</t>
  </si>
</sst>
</file>

<file path=xl/styles.xml><?xml version="1.0" encoding="utf-8"?>
<styleSheet xmlns="http://schemas.openxmlformats.org/spreadsheetml/2006/main">
  <numFmts count="4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00000_ "/>
    <numFmt numFmtId="182" formatCode="0.0000000_ "/>
    <numFmt numFmtId="183" formatCode="0.000000_ "/>
    <numFmt numFmtId="184" formatCode="0.00000_ "/>
    <numFmt numFmtId="185" formatCode="0.0000_ "/>
    <numFmt numFmtId="186" formatCode="0.000_ "/>
    <numFmt numFmtId="187" formatCode="0.00_ "/>
    <numFmt numFmtId="188" formatCode="0.0_ "/>
    <numFmt numFmtId="189" formatCode="0_ "/>
    <numFmt numFmtId="190" formatCode="0.0%"/>
    <numFmt numFmtId="191" formatCode="0.000%"/>
    <numFmt numFmtId="192" formatCode="_-* #,##0.0_-;\-* #,##0.0_-;_-* &quot;-&quot;?_-;_-@_-"/>
    <numFmt numFmtId="193" formatCode="#,##0_ "/>
    <numFmt numFmtId="194" formatCode="#&quot;△&quot;#"/>
    <numFmt numFmtId="195" formatCode="#,##0_);[Red]\(#,##0\)"/>
    <numFmt numFmtId="196" formatCode="_-* #,##0.0000_-;\-* #,##0.0000_-;_-* &quot;-&quot;????_-;_-@_-"/>
    <numFmt numFmtId="197" formatCode="_-* #,##0.000000000_-;\-* #,##0.000000000_-;_-* &quot;-&quot;?????????_-;_-@_-"/>
    <numFmt numFmtId="198" formatCode="[$-412]yyyy&quot;년 &quot;m&quot;월 &quot;d&quot;일 &quot;dddd"/>
    <numFmt numFmtId="199" formatCode="[$-412]AM/PM\ h:mm:ss"/>
    <numFmt numFmtId="200" formatCode="0_);[Red]\(0\)"/>
    <numFmt numFmtId="201" formatCode="[$-412]yyyy&quot;년&quot;\ m&quot;월&quot;\ d&quot;일&quot;\ dddd"/>
    <numFmt numFmtId="202" formatCode="_-* #,##0.000_-;\-* #,##0.000_-;_-* &quot;-&quot;??_-;_-@_-"/>
    <numFmt numFmtId="203" formatCode="_-* #,##0.0_-;\-* #,##0.0_-;_-* &quot;-&quot;??_-;_-@_-"/>
    <numFmt numFmtId="204" formatCode="_-* #,##0_-;\-* #,##0_-;_-* &quot;-&quot;??_-;_-@_-"/>
    <numFmt numFmtId="205" formatCode="#,##0.0_ "/>
    <numFmt numFmtId="206" formatCode="0.0_);[Red]\(0.0\)"/>
    <numFmt numFmtId="207" formatCode="0.00_);[Red]\(0.00\)"/>
    <numFmt numFmtId="208" formatCode="[Black]\△#,##0;[Black]\▽#,##0"/>
    <numFmt numFmtId="209" formatCode="[Black]\△#,##0;"/>
    <numFmt numFmtId="210" formatCode="[Black]\△#,##0;[Black]\△#,##0"/>
    <numFmt numFmtId="211" formatCode="000\-000"/>
    <numFmt numFmtId="212" formatCode="#,##0_);\(#,##0\)"/>
  </numFmts>
  <fonts count="72">
    <font>
      <sz val="11"/>
      <name val="돋움"/>
      <family val="3"/>
    </font>
    <font>
      <sz val="8"/>
      <name val="돋움"/>
      <family val="3"/>
    </font>
    <font>
      <sz val="11"/>
      <name val="굴림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24"/>
      <name val="굴림"/>
      <family val="3"/>
    </font>
    <font>
      <sz val="10"/>
      <name val="굴림"/>
      <family val="3"/>
    </font>
    <font>
      <sz val="10"/>
      <name val="돋움"/>
      <family val="3"/>
    </font>
    <font>
      <b/>
      <sz val="10"/>
      <name val="굴림"/>
      <family val="3"/>
    </font>
    <font>
      <b/>
      <sz val="10"/>
      <color indexed="8"/>
      <name val="굴림"/>
      <family val="3"/>
    </font>
    <font>
      <sz val="9"/>
      <color indexed="8"/>
      <name val="굴림"/>
      <family val="3"/>
    </font>
    <font>
      <b/>
      <sz val="9"/>
      <name val="굴림"/>
      <family val="3"/>
    </font>
    <font>
      <sz val="9"/>
      <name val="굴림"/>
      <family val="3"/>
    </font>
    <font>
      <b/>
      <sz val="9"/>
      <color indexed="8"/>
      <name val="굴림"/>
      <family val="3"/>
    </font>
    <font>
      <b/>
      <sz val="11"/>
      <name val="돋움"/>
      <family val="3"/>
    </font>
    <font>
      <sz val="8"/>
      <name val="굴림"/>
      <family val="3"/>
    </font>
    <font>
      <b/>
      <sz val="11"/>
      <name val="굴림"/>
      <family val="3"/>
    </font>
    <font>
      <b/>
      <u val="singleAccounting"/>
      <sz val="11"/>
      <name val="돋움"/>
      <family val="3"/>
    </font>
    <font>
      <b/>
      <sz val="12"/>
      <name val="돋움"/>
      <family val="3"/>
    </font>
    <font>
      <b/>
      <sz val="15"/>
      <name val="굴림"/>
      <family val="3"/>
    </font>
    <font>
      <sz val="15"/>
      <name val="굴림"/>
      <family val="3"/>
    </font>
    <font>
      <sz val="14"/>
      <name val="돋움"/>
      <family val="3"/>
    </font>
    <font>
      <b/>
      <sz val="14"/>
      <name val="돋움"/>
      <family val="3"/>
    </font>
    <font>
      <b/>
      <sz val="16"/>
      <name val="돋움"/>
      <family val="3"/>
    </font>
    <font>
      <b/>
      <sz val="20"/>
      <name val="굴림"/>
      <family val="3"/>
    </font>
    <font>
      <b/>
      <sz val="36"/>
      <name val="휴먼엑스포"/>
      <family val="1"/>
    </font>
    <font>
      <b/>
      <sz val="24"/>
      <name val="굴림"/>
      <family val="3"/>
    </font>
    <font>
      <b/>
      <sz val="10"/>
      <name val="돋움"/>
      <family val="3"/>
    </font>
    <font>
      <sz val="12"/>
      <name val="돋움"/>
      <family val="3"/>
    </font>
    <font>
      <b/>
      <sz val="13"/>
      <name val="돋움"/>
      <family val="3"/>
    </font>
    <font>
      <b/>
      <sz val="25"/>
      <name val="돋움"/>
      <family val="3"/>
    </font>
    <font>
      <b/>
      <sz val="25"/>
      <name val="휴먼엑스포"/>
      <family val="1"/>
    </font>
    <font>
      <b/>
      <sz val="28"/>
      <name val="휴먼엑스포"/>
      <family val="1"/>
    </font>
    <font>
      <sz val="9"/>
      <color indexed="10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30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9"/>
      <color rgb="FF000000"/>
      <name val="굴림"/>
      <family val="3"/>
    </font>
    <font>
      <sz val="9"/>
      <color rgb="FF000000"/>
      <name val="굴림"/>
      <family val="3"/>
    </font>
    <font>
      <b/>
      <sz val="11"/>
      <color rgb="FF0070C0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31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94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41" fontId="6" fillId="0" borderId="10" xfId="48" applyFont="1" applyBorder="1" applyAlignment="1">
      <alignment vertical="center"/>
    </xf>
    <xf numFmtId="41" fontId="6" fillId="0" borderId="11" xfId="48" applyFont="1" applyBorder="1" applyAlignment="1">
      <alignment vertical="center"/>
    </xf>
    <xf numFmtId="41" fontId="6" fillId="0" borderId="12" xfId="48" applyFont="1" applyBorder="1" applyAlignment="1">
      <alignment vertical="center"/>
    </xf>
    <xf numFmtId="41" fontId="8" fillId="0" borderId="13" xfId="48" applyFont="1" applyBorder="1" applyAlignment="1">
      <alignment vertical="center"/>
    </xf>
    <xf numFmtId="0" fontId="6" fillId="0" borderId="0" xfId="0" applyFont="1" applyAlignment="1">
      <alignment vertical="center"/>
    </xf>
    <xf numFmtId="41" fontId="8" fillId="0" borderId="14" xfId="48" applyFont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15" xfId="0" applyFont="1" applyBorder="1" applyAlignment="1">
      <alignment vertical="center"/>
    </xf>
    <xf numFmtId="0" fontId="10" fillId="0" borderId="16" xfId="0" applyFont="1" applyBorder="1" applyAlignment="1">
      <alignment horizontal="justify" vertical="center" wrapText="1"/>
    </xf>
    <xf numFmtId="0" fontId="10" fillId="0" borderId="17" xfId="0" applyFont="1" applyBorder="1" applyAlignment="1">
      <alignment horizontal="justify" vertical="center" wrapText="1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justify" vertical="center"/>
    </xf>
    <xf numFmtId="0" fontId="8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1" fontId="12" fillId="0" borderId="22" xfId="48" applyFont="1" applyFill="1" applyBorder="1" applyAlignment="1">
      <alignment horizontal="left" vertical="center" wrapText="1"/>
    </xf>
    <xf numFmtId="41" fontId="6" fillId="0" borderId="13" xfId="48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1" fontId="2" fillId="0" borderId="14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41" fontId="12" fillId="0" borderId="26" xfId="48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center" vertical="center" wrapText="1"/>
    </xf>
    <xf numFmtId="41" fontId="0" fillId="0" borderId="0" xfId="0" applyNumberFormat="1" applyAlignment="1">
      <alignment vertical="center"/>
    </xf>
    <xf numFmtId="41" fontId="6" fillId="0" borderId="0" xfId="48" applyFont="1" applyBorder="1" applyAlignment="1">
      <alignment vertical="center"/>
    </xf>
    <xf numFmtId="41" fontId="16" fillId="0" borderId="14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193" fontId="0" fillId="0" borderId="0" xfId="0" applyNumberFormat="1" applyAlignment="1">
      <alignment vertical="center"/>
    </xf>
    <xf numFmtId="41" fontId="7" fillId="0" borderId="0" xfId="0" applyNumberFormat="1" applyFont="1" applyAlignment="1">
      <alignment vertical="center"/>
    </xf>
    <xf numFmtId="0" fontId="6" fillId="0" borderId="29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0" fillId="0" borderId="30" xfId="0" applyBorder="1" applyAlignment="1">
      <alignment horizontal="right" vertical="center"/>
    </xf>
    <xf numFmtId="0" fontId="12" fillId="0" borderId="24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justify" vertical="center"/>
    </xf>
    <xf numFmtId="0" fontId="12" fillId="0" borderId="19" xfId="0" applyFont="1" applyFill="1" applyBorder="1" applyAlignment="1">
      <alignment horizontal="center" vertical="center" wrapText="1"/>
    </xf>
    <xf numFmtId="41" fontId="6" fillId="0" borderId="0" xfId="0" applyNumberFormat="1" applyFont="1" applyAlignment="1">
      <alignment vertical="center"/>
    </xf>
    <xf numFmtId="0" fontId="6" fillId="0" borderId="21" xfId="0" applyFont="1" applyBorder="1" applyAlignment="1">
      <alignment vertical="center"/>
    </xf>
    <xf numFmtId="41" fontId="6" fillId="0" borderId="31" xfId="48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5" fillId="0" borderId="2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193" fontId="7" fillId="0" borderId="0" xfId="0" applyNumberFormat="1" applyFont="1" applyAlignment="1">
      <alignment vertical="center"/>
    </xf>
    <xf numFmtId="43" fontId="0" fillId="0" borderId="0" xfId="0" applyNumberFormat="1" applyAlignment="1">
      <alignment vertical="center"/>
    </xf>
    <xf numFmtId="190" fontId="0" fillId="0" borderId="0" xfId="0" applyNumberFormat="1" applyAlignment="1">
      <alignment vertical="center"/>
    </xf>
    <xf numFmtId="196" fontId="0" fillId="0" borderId="0" xfId="0" applyNumberFormat="1" applyAlignment="1">
      <alignment vertical="center"/>
    </xf>
    <xf numFmtId="41" fontId="17" fillId="0" borderId="0" xfId="0" applyNumberFormat="1" applyFont="1" applyAlignment="1">
      <alignment vertical="center"/>
    </xf>
    <xf numFmtId="0" fontId="6" fillId="0" borderId="28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195" fontId="0" fillId="0" borderId="0" xfId="0" applyNumberFormat="1" applyBorder="1" applyAlignment="1">
      <alignment vertical="center"/>
    </xf>
    <xf numFmtId="195" fontId="0" fillId="0" borderId="0" xfId="0" applyNumberFormat="1" applyAlignment="1">
      <alignment vertical="center"/>
    </xf>
    <xf numFmtId="195" fontId="7" fillId="0" borderId="0" xfId="0" applyNumberFormat="1" applyFont="1" applyAlignment="1">
      <alignment vertical="center"/>
    </xf>
    <xf numFmtId="195" fontId="5" fillId="0" borderId="0" xfId="0" applyNumberFormat="1" applyFont="1" applyBorder="1" applyAlignment="1">
      <alignment vertical="center"/>
    </xf>
    <xf numFmtId="195" fontId="6" fillId="0" borderId="32" xfId="48" applyNumberFormat="1" applyFont="1" applyFill="1" applyBorder="1" applyAlignment="1">
      <alignment vertical="center"/>
    </xf>
    <xf numFmtId="195" fontId="0" fillId="0" borderId="0" xfId="0" applyNumberFormat="1" applyFill="1" applyAlignment="1">
      <alignment vertical="center"/>
    </xf>
    <xf numFmtId="195" fontId="7" fillId="0" borderId="0" xfId="0" applyNumberFormat="1" applyFont="1" applyFill="1" applyAlignment="1">
      <alignment vertical="center"/>
    </xf>
    <xf numFmtId="195" fontId="0" fillId="0" borderId="0" xfId="0" applyNumberFormat="1" applyFill="1" applyBorder="1" applyAlignment="1">
      <alignment vertical="center"/>
    </xf>
    <xf numFmtId="0" fontId="6" fillId="0" borderId="24" xfId="0" applyFont="1" applyBorder="1" applyAlignment="1">
      <alignment horizontal="center" vertical="center" wrapText="1"/>
    </xf>
    <xf numFmtId="41" fontId="8" fillId="0" borderId="33" xfId="48" applyFont="1" applyBorder="1" applyAlignment="1">
      <alignment vertical="center"/>
    </xf>
    <xf numFmtId="41" fontId="0" fillId="0" borderId="34" xfId="0" applyNumberFormat="1" applyBorder="1" applyAlignment="1">
      <alignment vertical="center"/>
    </xf>
    <xf numFmtId="41" fontId="18" fillId="0" borderId="34" xfId="0" applyNumberFormat="1" applyFont="1" applyBorder="1" applyAlignment="1">
      <alignment vertical="center"/>
    </xf>
    <xf numFmtId="41" fontId="7" fillId="0" borderId="34" xfId="0" applyNumberFormat="1" applyFont="1" applyBorder="1" applyAlignment="1">
      <alignment vertical="center"/>
    </xf>
    <xf numFmtId="41" fontId="6" fillId="0" borderId="14" xfId="0" applyNumberFormat="1" applyFont="1" applyBorder="1" applyAlignment="1">
      <alignment vertical="center"/>
    </xf>
    <xf numFmtId="41" fontId="8" fillId="0" borderId="35" xfId="0" applyNumberFormat="1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horizontal="right" vertical="center"/>
    </xf>
    <xf numFmtId="0" fontId="22" fillId="0" borderId="12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190" fontId="17" fillId="0" borderId="0" xfId="0" applyNumberFormat="1" applyFont="1" applyAlignment="1">
      <alignment vertical="center"/>
    </xf>
    <xf numFmtId="41" fontId="2" fillId="0" borderId="13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vertical="center"/>
    </xf>
    <xf numFmtId="194" fontId="23" fillId="0" borderId="0" xfId="0" applyNumberFormat="1" applyFont="1" applyBorder="1" applyAlignment="1">
      <alignment horizontal="center" vertical="center"/>
    </xf>
    <xf numFmtId="41" fontId="21" fillId="0" borderId="0" xfId="48" applyFont="1" applyFill="1" applyBorder="1" applyAlignment="1">
      <alignment horizontal="right" vertical="center"/>
    </xf>
    <xf numFmtId="41" fontId="16" fillId="0" borderId="37" xfId="48" applyFont="1" applyBorder="1" applyAlignment="1">
      <alignment vertical="center"/>
    </xf>
    <xf numFmtId="0" fontId="16" fillId="0" borderId="25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1" fontId="6" fillId="0" borderId="0" xfId="48" applyFont="1" applyFill="1" applyBorder="1" applyAlignment="1">
      <alignment horizontal="left" vertical="center"/>
    </xf>
    <xf numFmtId="0" fontId="9" fillId="0" borderId="0" xfId="0" applyFont="1" applyBorder="1" applyAlignment="1">
      <alignment horizontal="justify" vertical="center"/>
    </xf>
    <xf numFmtId="41" fontId="6" fillId="0" borderId="0" xfId="48" applyFont="1" applyFill="1" applyBorder="1" applyAlignment="1">
      <alignment horizontal="left" vertical="center" wrapText="1"/>
    </xf>
    <xf numFmtId="41" fontId="6" fillId="0" borderId="0" xfId="48" applyNumberFormat="1" applyFont="1" applyFill="1" applyBorder="1" applyAlignment="1">
      <alignment horizontal="left" vertical="center" wrapText="1"/>
    </xf>
    <xf numFmtId="41" fontId="6" fillId="0" borderId="11" xfId="48" applyFont="1" applyBorder="1" applyAlignment="1">
      <alignment vertical="center"/>
    </xf>
    <xf numFmtId="41" fontId="8" fillId="0" borderId="11" xfId="48" applyFont="1" applyBorder="1" applyAlignment="1">
      <alignment vertical="center"/>
    </xf>
    <xf numFmtId="193" fontId="6" fillId="0" borderId="12" xfId="48" applyNumberFormat="1" applyFont="1" applyBorder="1" applyAlignment="1">
      <alignment vertical="center"/>
    </xf>
    <xf numFmtId="41" fontId="0" fillId="0" borderId="34" xfId="0" applyNumberFormat="1" applyFont="1" applyBorder="1" applyAlignment="1">
      <alignment vertical="center"/>
    </xf>
    <xf numFmtId="41" fontId="6" fillId="0" borderId="38" xfId="48" applyFont="1" applyBorder="1" applyAlignment="1">
      <alignment vertical="center"/>
    </xf>
    <xf numFmtId="41" fontId="12" fillId="0" borderId="39" xfId="48" applyFont="1" applyFill="1" applyBorder="1" applyAlignment="1">
      <alignment horizontal="left" vertical="center" wrapText="1"/>
    </xf>
    <xf numFmtId="41" fontId="7" fillId="0" borderId="40" xfId="0" applyNumberFormat="1" applyFont="1" applyBorder="1" applyAlignment="1">
      <alignment vertical="center"/>
    </xf>
    <xf numFmtId="0" fontId="6" fillId="0" borderId="39" xfId="0" applyFont="1" applyBorder="1" applyAlignment="1">
      <alignment horizontal="center" vertical="center" wrapText="1"/>
    </xf>
    <xf numFmtId="41" fontId="6" fillId="0" borderId="0" xfId="48" applyFont="1" applyAlignment="1">
      <alignment vertical="center"/>
    </xf>
    <xf numFmtId="41" fontId="12" fillId="0" borderId="41" xfId="48" applyFont="1" applyFill="1" applyBorder="1" applyAlignment="1">
      <alignment horizontal="left" vertical="center" wrapText="1"/>
    </xf>
    <xf numFmtId="41" fontId="12" fillId="0" borderId="20" xfId="48" applyFont="1" applyFill="1" applyBorder="1" applyAlignment="1">
      <alignment horizontal="left" vertical="center" wrapText="1"/>
    </xf>
    <xf numFmtId="41" fontId="0" fillId="0" borderId="0" xfId="48" applyFont="1" applyAlignment="1">
      <alignment vertical="center"/>
    </xf>
    <xf numFmtId="0" fontId="6" fillId="0" borderId="42" xfId="0" applyFont="1" applyBorder="1" applyAlignment="1">
      <alignment horizontal="center" vertical="center"/>
    </xf>
    <xf numFmtId="41" fontId="12" fillId="0" borderId="43" xfId="48" applyFont="1" applyFill="1" applyBorder="1" applyAlignment="1">
      <alignment horizontal="left" vertical="center" wrapText="1"/>
    </xf>
    <xf numFmtId="41" fontId="6" fillId="0" borderId="44" xfId="48" applyFont="1" applyBorder="1" applyAlignment="1">
      <alignment vertical="center"/>
    </xf>
    <xf numFmtId="41" fontId="0" fillId="0" borderId="0" xfId="0" applyNumberFormat="1" applyAlignment="1" quotePrefix="1">
      <alignment vertical="center"/>
    </xf>
    <xf numFmtId="0" fontId="6" fillId="0" borderId="21" xfId="0" applyFont="1" applyBorder="1" applyAlignment="1">
      <alignment horizontal="center" vertical="top" wrapText="1"/>
    </xf>
    <xf numFmtId="41" fontId="6" fillId="0" borderId="13" xfId="48" applyFont="1" applyBorder="1" applyAlignment="1">
      <alignment vertical="center"/>
    </xf>
    <xf numFmtId="41" fontId="6" fillId="0" borderId="11" xfId="48" applyFont="1" applyBorder="1" applyAlignment="1">
      <alignment horizontal="center" vertical="center"/>
    </xf>
    <xf numFmtId="41" fontId="12" fillId="0" borderId="17" xfId="48" applyFont="1" applyFill="1" applyBorder="1" applyAlignment="1">
      <alignment horizontal="left" vertical="center" wrapText="1"/>
    </xf>
    <xf numFmtId="41" fontId="6" fillId="0" borderId="35" xfId="48" applyFont="1" applyBorder="1" applyAlignment="1">
      <alignment vertical="center"/>
    </xf>
    <xf numFmtId="41" fontId="12" fillId="0" borderId="45" xfId="48" applyFont="1" applyFill="1" applyBorder="1" applyAlignment="1">
      <alignment horizontal="left" vertical="center" wrapText="1"/>
    </xf>
    <xf numFmtId="41" fontId="7" fillId="0" borderId="0" xfId="0" applyNumberFormat="1" applyFont="1" applyBorder="1" applyAlignment="1">
      <alignment vertical="center"/>
    </xf>
    <xf numFmtId="41" fontId="12" fillId="0" borderId="16" xfId="48" applyFont="1" applyFill="1" applyBorder="1" applyAlignment="1">
      <alignment horizontal="left" vertical="center" wrapText="1"/>
    </xf>
    <xf numFmtId="193" fontId="6" fillId="0" borderId="11" xfId="48" applyNumberFormat="1" applyFont="1" applyBorder="1" applyAlignment="1">
      <alignment vertical="center"/>
    </xf>
    <xf numFmtId="0" fontId="6" fillId="0" borderId="46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193" fontId="6" fillId="0" borderId="47" xfId="48" applyNumberFormat="1" applyFont="1" applyBorder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41" fontId="6" fillId="0" borderId="48" xfId="48" applyFont="1" applyBorder="1" applyAlignment="1">
      <alignment vertical="center"/>
    </xf>
    <xf numFmtId="41" fontId="6" fillId="0" borderId="49" xfId="48" applyFont="1" applyBorder="1" applyAlignment="1">
      <alignment vertical="center"/>
    </xf>
    <xf numFmtId="41" fontId="6" fillId="0" borderId="38" xfId="48" applyFont="1" applyBorder="1" applyAlignment="1">
      <alignment horizontal="center" vertical="center"/>
    </xf>
    <xf numFmtId="41" fontId="6" fillId="0" borderId="50" xfId="48" applyFont="1" applyBorder="1" applyAlignment="1">
      <alignment vertical="center"/>
    </xf>
    <xf numFmtId="41" fontId="12" fillId="0" borderId="25" xfId="0" applyNumberFormat="1" applyFont="1" applyFill="1" applyBorder="1" applyAlignment="1">
      <alignment horizontal="center" vertical="center"/>
    </xf>
    <xf numFmtId="41" fontId="12" fillId="0" borderId="51" xfId="48" applyFont="1" applyFill="1" applyBorder="1" applyAlignment="1">
      <alignment horizontal="left" vertical="center"/>
    </xf>
    <xf numFmtId="41" fontId="12" fillId="0" borderId="25" xfId="48" applyFont="1" applyFill="1" applyBorder="1" applyAlignment="1">
      <alignment horizontal="left" vertical="center"/>
    </xf>
    <xf numFmtId="0" fontId="12" fillId="0" borderId="25" xfId="0" applyFont="1" applyBorder="1" applyAlignment="1">
      <alignment vertical="center"/>
    </xf>
    <xf numFmtId="41" fontId="12" fillId="0" borderId="51" xfId="48" applyFont="1" applyFill="1" applyBorder="1" applyAlignment="1">
      <alignment horizontal="left" vertical="center" wrapText="1"/>
    </xf>
    <xf numFmtId="41" fontId="6" fillId="0" borderId="52" xfId="48" applyFont="1" applyBorder="1" applyAlignment="1">
      <alignment vertical="center"/>
    </xf>
    <xf numFmtId="41" fontId="6" fillId="0" borderId="38" xfId="48" applyFont="1" applyBorder="1" applyAlignment="1">
      <alignment vertical="center"/>
    </xf>
    <xf numFmtId="41" fontId="7" fillId="0" borderId="0" xfId="48" applyFont="1" applyAlignment="1">
      <alignment vertical="center"/>
    </xf>
    <xf numFmtId="0" fontId="6" fillId="0" borderId="42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195" fontId="6" fillId="0" borderId="37" xfId="48" applyNumberFormat="1" applyFont="1" applyFill="1" applyBorder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41" fontId="12" fillId="0" borderId="41" xfId="48" applyFont="1" applyFill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195" fontId="8" fillId="0" borderId="53" xfId="48" applyNumberFormat="1" applyFont="1" applyFill="1" applyBorder="1" applyAlignment="1">
      <alignment vertical="center"/>
    </xf>
    <xf numFmtId="195" fontId="8" fillId="0" borderId="37" xfId="48" applyNumberFormat="1" applyFont="1" applyFill="1" applyBorder="1" applyAlignment="1">
      <alignment vertical="center"/>
    </xf>
    <xf numFmtId="195" fontId="6" fillId="0" borderId="10" xfId="48" applyNumberFormat="1" applyFont="1" applyFill="1" applyBorder="1" applyAlignment="1">
      <alignment vertical="center"/>
    </xf>
    <xf numFmtId="0" fontId="22" fillId="0" borderId="47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95" fontId="6" fillId="0" borderId="11" xfId="48" applyNumberFormat="1" applyFont="1" applyFill="1" applyBorder="1" applyAlignment="1">
      <alignment vertical="center"/>
    </xf>
    <xf numFmtId="0" fontId="6" fillId="0" borderId="19" xfId="0" applyFont="1" applyBorder="1" applyAlignment="1">
      <alignment horizontal="center" vertical="center" wrapText="1"/>
    </xf>
    <xf numFmtId="195" fontId="6" fillId="0" borderId="54" xfId="48" applyNumberFormat="1" applyFont="1" applyFill="1" applyBorder="1" applyAlignment="1">
      <alignment vertical="center"/>
    </xf>
    <xf numFmtId="195" fontId="8" fillId="0" borderId="14" xfId="48" applyNumberFormat="1" applyFont="1" applyBorder="1" applyAlignment="1">
      <alignment horizontal="right" vertical="center"/>
    </xf>
    <xf numFmtId="49" fontId="0" fillId="0" borderId="0" xfId="0" applyNumberFormat="1" applyBorder="1" applyAlignment="1">
      <alignment vertical="center"/>
    </xf>
    <xf numFmtId="49" fontId="2" fillId="0" borderId="30" xfId="0" applyNumberFormat="1" applyFont="1" applyBorder="1" applyAlignment="1">
      <alignment vertical="center"/>
    </xf>
    <xf numFmtId="49" fontId="20" fillId="0" borderId="30" xfId="0" applyNumberFormat="1" applyFont="1" applyBorder="1" applyAlignment="1">
      <alignment horizontal="right" vertical="center"/>
    </xf>
    <xf numFmtId="49" fontId="19" fillId="0" borderId="0" xfId="0" applyNumberFormat="1" applyFont="1" applyBorder="1" applyAlignment="1">
      <alignment horizontal="center" vertical="center"/>
    </xf>
    <xf numFmtId="49" fontId="20" fillId="0" borderId="30" xfId="0" applyNumberFormat="1" applyFont="1" applyBorder="1" applyAlignment="1">
      <alignment vertical="center"/>
    </xf>
    <xf numFmtId="49" fontId="6" fillId="0" borderId="13" xfId="48" applyNumberFormat="1" applyFont="1" applyBorder="1" applyAlignment="1">
      <alignment vertical="center"/>
    </xf>
    <xf numFmtId="49" fontId="6" fillId="0" borderId="0" xfId="48" applyNumberFormat="1" applyFont="1" applyBorder="1" applyAlignment="1">
      <alignment horizontal="center" vertical="center"/>
    </xf>
    <xf numFmtId="49" fontId="6" fillId="0" borderId="11" xfId="48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justify" vertical="center" wrapText="1"/>
    </xf>
    <xf numFmtId="49" fontId="7" fillId="0" borderId="34" xfId="0" applyNumberFormat="1" applyFont="1" applyBorder="1" applyAlignment="1">
      <alignment vertical="center"/>
    </xf>
    <xf numFmtId="41" fontId="6" fillId="0" borderId="55" xfId="48" applyFont="1" applyBorder="1" applyAlignment="1">
      <alignment vertical="center"/>
    </xf>
    <xf numFmtId="41" fontId="7" fillId="0" borderId="56" xfId="0" applyNumberFormat="1" applyFont="1" applyBorder="1" applyAlignment="1">
      <alignment vertical="center"/>
    </xf>
    <xf numFmtId="41" fontId="7" fillId="0" borderId="57" xfId="0" applyNumberFormat="1" applyFont="1" applyBorder="1" applyAlignment="1">
      <alignment vertical="center"/>
    </xf>
    <xf numFmtId="0" fontId="8" fillId="0" borderId="23" xfId="0" applyFont="1" applyFill="1" applyBorder="1" applyAlignment="1">
      <alignment horizontal="center" vertical="center"/>
    </xf>
    <xf numFmtId="41" fontId="6" fillId="0" borderId="58" xfId="0" applyNumberFormat="1" applyFont="1" applyBorder="1" applyAlignment="1">
      <alignment horizontal="center" vertical="center" wrapText="1"/>
    </xf>
    <xf numFmtId="195" fontId="6" fillId="0" borderId="59" xfId="48" applyNumberFormat="1" applyFont="1" applyFill="1" applyBorder="1" applyAlignment="1">
      <alignment vertical="center"/>
    </xf>
    <xf numFmtId="41" fontId="6" fillId="0" borderId="47" xfId="48" applyFont="1" applyBorder="1" applyAlignment="1">
      <alignment vertical="center"/>
    </xf>
    <xf numFmtId="0" fontId="10" fillId="0" borderId="60" xfId="0" applyFont="1" applyBorder="1" applyAlignment="1">
      <alignment vertical="center" wrapText="1"/>
    </xf>
    <xf numFmtId="0" fontId="10" fillId="0" borderId="43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4" fillId="0" borderId="61" xfId="0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14" fillId="0" borderId="0" xfId="0" applyFont="1" applyAlignment="1">
      <alignment vertical="center"/>
    </xf>
    <xf numFmtId="49" fontId="6" fillId="0" borderId="12" xfId="48" applyNumberFormat="1" applyFont="1" applyBorder="1" applyAlignment="1">
      <alignment vertical="center"/>
    </xf>
    <xf numFmtId="49" fontId="69" fillId="0" borderId="17" xfId="0" applyNumberFormat="1" applyFont="1" applyBorder="1" applyAlignment="1">
      <alignment horizontal="justify" vertical="center" wrapText="1"/>
    </xf>
    <xf numFmtId="195" fontId="8" fillId="0" borderId="62" xfId="0" applyNumberFormat="1" applyFont="1" applyBorder="1" applyAlignment="1">
      <alignment horizontal="right" vertical="center" wrapText="1"/>
    </xf>
    <xf numFmtId="195" fontId="8" fillId="0" borderId="14" xfId="0" applyNumberFormat="1" applyFont="1" applyBorder="1" applyAlignment="1">
      <alignment horizontal="right" vertical="center" wrapText="1"/>
    </xf>
    <xf numFmtId="41" fontId="28" fillId="0" borderId="12" xfId="48" applyFont="1" applyBorder="1" applyAlignment="1">
      <alignment horizontal="right" vertical="center"/>
    </xf>
    <xf numFmtId="190" fontId="28" fillId="0" borderId="12" xfId="48" applyNumberFormat="1" applyFont="1" applyBorder="1" applyAlignment="1">
      <alignment vertical="center"/>
    </xf>
    <xf numFmtId="41" fontId="28" fillId="0" borderId="12" xfId="48" applyFont="1" applyBorder="1" applyAlignment="1">
      <alignment vertical="center"/>
    </xf>
    <xf numFmtId="41" fontId="28" fillId="0" borderId="10" xfId="48" applyFont="1" applyBorder="1" applyAlignment="1">
      <alignment horizontal="right" vertical="center"/>
    </xf>
    <xf numFmtId="190" fontId="28" fillId="0" borderId="10" xfId="48" applyNumberFormat="1" applyFont="1" applyBorder="1" applyAlignment="1">
      <alignment vertical="center"/>
    </xf>
    <xf numFmtId="41" fontId="28" fillId="0" borderId="10" xfId="48" applyFont="1" applyBorder="1" applyAlignment="1">
      <alignment vertical="center"/>
    </xf>
    <xf numFmtId="41" fontId="28" fillId="0" borderId="10" xfId="48" applyFont="1" applyBorder="1" applyAlignment="1">
      <alignment horizontal="right" vertical="center" wrapText="1"/>
    </xf>
    <xf numFmtId="193" fontId="28" fillId="0" borderId="10" xfId="48" applyNumberFormat="1" applyFont="1" applyFill="1" applyBorder="1" applyAlignment="1">
      <alignment vertical="center"/>
    </xf>
    <xf numFmtId="190" fontId="28" fillId="0" borderId="10" xfId="48" applyNumberFormat="1" applyFont="1" applyFill="1" applyBorder="1" applyAlignment="1">
      <alignment vertical="center"/>
    </xf>
    <xf numFmtId="41" fontId="28" fillId="0" borderId="12" xfId="0" applyNumberFormat="1" applyFont="1" applyBorder="1" applyAlignment="1">
      <alignment horizontal="center" vertical="center"/>
    </xf>
    <xf numFmtId="41" fontId="28" fillId="0" borderId="10" xfId="0" applyNumberFormat="1" applyFont="1" applyBorder="1" applyAlignment="1">
      <alignment horizontal="center" vertical="center"/>
    </xf>
    <xf numFmtId="41" fontId="28" fillId="0" borderId="10" xfId="48" applyFont="1" applyBorder="1" applyAlignment="1">
      <alignment horizontal="center" vertical="center"/>
    </xf>
    <xf numFmtId="190" fontId="28" fillId="0" borderId="10" xfId="43" applyNumberFormat="1" applyFont="1" applyBorder="1" applyAlignment="1">
      <alignment vertical="center"/>
    </xf>
    <xf numFmtId="41" fontId="28" fillId="0" borderId="47" xfId="0" applyNumberFormat="1" applyFont="1" applyBorder="1" applyAlignment="1">
      <alignment horizontal="center" vertical="center"/>
    </xf>
    <xf numFmtId="190" fontId="28" fillId="0" borderId="47" xfId="48" applyNumberFormat="1" applyFont="1" applyBorder="1" applyAlignment="1">
      <alignment vertical="center"/>
    </xf>
    <xf numFmtId="41" fontId="28" fillId="0" borderId="47" xfId="48" applyFont="1" applyBorder="1" applyAlignment="1">
      <alignment vertical="center"/>
    </xf>
    <xf numFmtId="190" fontId="28" fillId="0" borderId="47" xfId="43" applyNumberFormat="1" applyFont="1" applyBorder="1" applyAlignment="1">
      <alignment vertical="center"/>
    </xf>
    <xf numFmtId="41" fontId="6" fillId="0" borderId="11" xfId="48" applyFont="1" applyFill="1" applyBorder="1" applyAlignment="1">
      <alignment horizontal="right" vertical="center"/>
    </xf>
    <xf numFmtId="41" fontId="6" fillId="0" borderId="38" xfId="48" applyFont="1" applyFill="1" applyBorder="1" applyAlignment="1">
      <alignment horizontal="right" vertical="center"/>
    </xf>
    <xf numFmtId="0" fontId="70" fillId="0" borderId="17" xfId="0" applyFont="1" applyBorder="1" applyAlignment="1">
      <alignment horizontal="left" vertical="center" wrapText="1"/>
    </xf>
    <xf numFmtId="0" fontId="70" fillId="0" borderId="25" xfId="0" applyFont="1" applyBorder="1" applyAlignment="1">
      <alignment horizontal="left" vertical="center" wrapText="1"/>
    </xf>
    <xf numFmtId="41" fontId="6" fillId="0" borderId="0" xfId="0" applyNumberFormat="1" applyFont="1" applyBorder="1" applyAlignment="1">
      <alignment horizontal="center" vertical="center" wrapText="1"/>
    </xf>
    <xf numFmtId="41" fontId="6" fillId="0" borderId="11" xfId="0" applyNumberFormat="1" applyFont="1" applyBorder="1" applyAlignment="1">
      <alignment horizontal="center" vertical="center" wrapText="1"/>
    </xf>
    <xf numFmtId="41" fontId="6" fillId="0" borderId="11" xfId="48" applyFont="1" applyBorder="1" applyAlignment="1">
      <alignment horizontal="right" vertical="center"/>
    </xf>
    <xf numFmtId="41" fontId="8" fillId="0" borderId="37" xfId="0" applyNumberFormat="1" applyFont="1" applyBorder="1" applyAlignment="1">
      <alignment vertical="center"/>
    </xf>
    <xf numFmtId="193" fontId="8" fillId="0" borderId="14" xfId="0" applyNumberFormat="1" applyFont="1" applyBorder="1" applyAlignment="1">
      <alignment vertical="center"/>
    </xf>
    <xf numFmtId="0" fontId="12" fillId="0" borderId="16" xfId="0" applyFont="1" applyBorder="1" applyAlignment="1">
      <alignment vertical="center" wrapText="1"/>
    </xf>
    <xf numFmtId="41" fontId="6" fillId="0" borderId="11" xfId="48" applyFont="1" applyFill="1" applyBorder="1" applyAlignment="1">
      <alignment horizontal="center" vertical="center" wrapText="1"/>
    </xf>
    <xf numFmtId="41" fontId="6" fillId="0" borderId="0" xfId="48" applyFont="1" applyFill="1" applyBorder="1" applyAlignment="1">
      <alignment horizontal="right" vertical="center"/>
    </xf>
    <xf numFmtId="41" fontId="6" fillId="0" borderId="63" xfId="48" applyFont="1" applyBorder="1" applyAlignment="1">
      <alignment vertical="center"/>
    </xf>
    <xf numFmtId="0" fontId="12" fillId="0" borderId="21" xfId="0" applyFont="1" applyFill="1" applyBorder="1" applyAlignment="1">
      <alignment horizontal="center" vertical="center" wrapText="1"/>
    </xf>
    <xf numFmtId="49" fontId="12" fillId="0" borderId="16" xfId="48" applyNumberFormat="1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/>
    </xf>
    <xf numFmtId="41" fontId="6" fillId="0" borderId="64" xfId="48" applyFont="1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/>
    </xf>
    <xf numFmtId="0" fontId="2" fillId="0" borderId="65" xfId="0" applyFont="1" applyBorder="1" applyAlignment="1">
      <alignment vertical="center"/>
    </xf>
    <xf numFmtId="0" fontId="2" fillId="0" borderId="60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41" fontId="18" fillId="0" borderId="58" xfId="48" applyFont="1" applyBorder="1" applyAlignment="1">
      <alignment horizontal="right" vertical="center"/>
    </xf>
    <xf numFmtId="9" fontId="28" fillId="0" borderId="58" xfId="43" applyFont="1" applyBorder="1" applyAlignment="1">
      <alignment vertical="center"/>
    </xf>
    <xf numFmtId="41" fontId="18" fillId="0" borderId="58" xfId="48" applyFont="1" applyBorder="1" applyAlignment="1">
      <alignment vertical="center"/>
    </xf>
    <xf numFmtId="0" fontId="22" fillId="0" borderId="64" xfId="0" applyFont="1" applyBorder="1" applyAlignment="1">
      <alignment horizontal="center" vertical="center" wrapText="1"/>
    </xf>
    <xf numFmtId="41" fontId="28" fillId="0" borderId="64" xfId="48" applyFont="1" applyBorder="1" applyAlignment="1">
      <alignment horizontal="right" vertical="center" wrapText="1"/>
    </xf>
    <xf numFmtId="190" fontId="28" fillId="0" borderId="64" xfId="48" applyNumberFormat="1" applyFont="1" applyBorder="1" applyAlignment="1">
      <alignment vertical="center"/>
    </xf>
    <xf numFmtId="41" fontId="28" fillId="0" borderId="64" xfId="48" applyFont="1" applyBorder="1" applyAlignment="1">
      <alignment vertical="center"/>
    </xf>
    <xf numFmtId="0" fontId="29" fillId="0" borderId="0" xfId="0" applyFont="1" applyAlignment="1">
      <alignment horizontal="right" vertical="center" wrapText="1"/>
    </xf>
    <xf numFmtId="0" fontId="22" fillId="0" borderId="50" xfId="0" applyFont="1" applyBorder="1" applyAlignment="1">
      <alignment horizontal="center" vertical="center"/>
    </xf>
    <xf numFmtId="41" fontId="28" fillId="0" borderId="50" xfId="48" applyFont="1" applyBorder="1" applyAlignment="1">
      <alignment horizontal="right" vertical="center"/>
    </xf>
    <xf numFmtId="190" fontId="28" fillId="0" borderId="50" xfId="48" applyNumberFormat="1" applyFont="1" applyBorder="1" applyAlignment="1">
      <alignment vertical="center"/>
    </xf>
    <xf numFmtId="41" fontId="28" fillId="0" borderId="50" xfId="48" applyFont="1" applyBorder="1" applyAlignment="1">
      <alignment vertical="center"/>
    </xf>
    <xf numFmtId="195" fontId="6" fillId="0" borderId="67" xfId="48" applyNumberFormat="1" applyFont="1" applyFill="1" applyBorder="1" applyAlignment="1">
      <alignment vertical="center"/>
    </xf>
    <xf numFmtId="0" fontId="6" fillId="0" borderId="39" xfId="0" applyFont="1" applyBorder="1" applyAlignment="1">
      <alignment vertical="top" wrapText="1"/>
    </xf>
    <xf numFmtId="195" fontId="6" fillId="0" borderId="47" xfId="48" applyNumberFormat="1" applyFont="1" applyFill="1" applyBorder="1" applyAlignment="1">
      <alignment vertical="center"/>
    </xf>
    <xf numFmtId="41" fontId="6" fillId="0" borderId="41" xfId="48" applyFont="1" applyFill="1" applyBorder="1" applyAlignment="1">
      <alignment horizontal="left" vertical="center" wrapText="1"/>
    </xf>
    <xf numFmtId="0" fontId="6" fillId="0" borderId="42" xfId="0" applyFont="1" applyBorder="1" applyAlignment="1">
      <alignment vertical="top" wrapText="1"/>
    </xf>
    <xf numFmtId="195" fontId="6" fillId="0" borderId="53" xfId="48" applyNumberFormat="1" applyFont="1" applyFill="1" applyBorder="1" applyAlignment="1">
      <alignment vertical="center"/>
    </xf>
    <xf numFmtId="41" fontId="12" fillId="0" borderId="36" xfId="48" applyFont="1" applyFill="1" applyBorder="1" applyAlignment="1">
      <alignment horizontal="left" vertical="center" wrapText="1"/>
    </xf>
    <xf numFmtId="0" fontId="10" fillId="0" borderId="16" xfId="0" applyFont="1" applyBorder="1" applyAlignment="1">
      <alignment vertical="center" wrapText="1"/>
    </xf>
    <xf numFmtId="0" fontId="13" fillId="0" borderId="60" xfId="0" applyFont="1" applyBorder="1" applyAlignment="1">
      <alignment vertical="center" wrapText="1"/>
    </xf>
    <xf numFmtId="0" fontId="11" fillId="0" borderId="23" xfId="0" applyFont="1" applyBorder="1" applyAlignment="1">
      <alignment horizontal="center" vertical="center" wrapText="1"/>
    </xf>
    <xf numFmtId="41" fontId="8" fillId="0" borderId="14" xfId="48" applyFont="1" applyBorder="1" applyAlignment="1">
      <alignment horizontal="center" vertical="center"/>
    </xf>
    <xf numFmtId="41" fontId="16" fillId="0" borderId="37" xfId="48" applyFont="1" applyBorder="1" applyAlignment="1">
      <alignment horizontal="center" vertical="center"/>
    </xf>
    <xf numFmtId="41" fontId="6" fillId="0" borderId="52" xfId="48" applyFont="1" applyBorder="1" applyAlignment="1">
      <alignment vertical="center"/>
    </xf>
    <xf numFmtId="193" fontId="6" fillId="0" borderId="38" xfId="48" applyNumberFormat="1" applyFont="1" applyBorder="1" applyAlignment="1">
      <alignment vertical="center"/>
    </xf>
    <xf numFmtId="41" fontId="6" fillId="0" borderId="30" xfId="48" applyFont="1" applyFill="1" applyBorder="1" applyAlignment="1">
      <alignment horizontal="right" vertical="center"/>
    </xf>
    <xf numFmtId="41" fontId="6" fillId="0" borderId="58" xfId="48" applyFont="1" applyBorder="1" applyAlignment="1">
      <alignment horizontal="center" vertical="center"/>
    </xf>
    <xf numFmtId="41" fontId="6" fillId="0" borderId="58" xfId="48" applyFont="1" applyBorder="1" applyAlignment="1">
      <alignment vertical="center"/>
    </xf>
    <xf numFmtId="41" fontId="6" fillId="0" borderId="58" xfId="48" applyFont="1" applyFill="1" applyBorder="1" applyAlignment="1">
      <alignment horizontal="right" vertical="center"/>
    </xf>
    <xf numFmtId="0" fontId="10" fillId="0" borderId="45" xfId="0" applyFont="1" applyBorder="1" applyAlignment="1">
      <alignment horizontal="justify" vertical="center" wrapText="1"/>
    </xf>
    <xf numFmtId="41" fontId="8" fillId="0" borderId="52" xfId="48" applyFont="1" applyBorder="1" applyAlignment="1">
      <alignment vertical="center"/>
    </xf>
    <xf numFmtId="41" fontId="8" fillId="0" borderId="38" xfId="48" applyFont="1" applyBorder="1" applyAlignment="1">
      <alignment vertical="center"/>
    </xf>
    <xf numFmtId="200" fontId="6" fillId="0" borderId="10" xfId="48" applyNumberFormat="1" applyFont="1" applyBorder="1" applyAlignment="1">
      <alignment vertical="center"/>
    </xf>
    <xf numFmtId="200" fontId="6" fillId="0" borderId="47" xfId="48" applyNumberFormat="1" applyFont="1" applyBorder="1" applyAlignment="1">
      <alignment vertical="center"/>
    </xf>
    <xf numFmtId="210" fontId="8" fillId="0" borderId="14" xfId="48" applyNumberFormat="1" applyFont="1" applyFill="1" applyBorder="1" applyAlignment="1">
      <alignment horizontal="right" vertical="center"/>
    </xf>
    <xf numFmtId="0" fontId="22" fillId="0" borderId="38" xfId="0" applyFont="1" applyBorder="1" applyAlignment="1">
      <alignment horizontal="center" vertical="center"/>
    </xf>
    <xf numFmtId="41" fontId="18" fillId="0" borderId="38" xfId="0" applyNumberFormat="1" applyFont="1" applyBorder="1" applyAlignment="1">
      <alignment horizontal="center" vertical="center"/>
    </xf>
    <xf numFmtId="9" fontId="28" fillId="0" borderId="38" xfId="48" applyNumberFormat="1" applyFont="1" applyBorder="1" applyAlignment="1">
      <alignment vertical="center"/>
    </xf>
    <xf numFmtId="41" fontId="18" fillId="0" borderId="38" xfId="48" applyFont="1" applyBorder="1" applyAlignment="1">
      <alignment vertical="center"/>
    </xf>
    <xf numFmtId="195" fontId="8" fillId="0" borderId="14" xfId="48" applyNumberFormat="1" applyFont="1" applyFill="1" applyBorder="1" applyAlignment="1">
      <alignment vertical="center"/>
    </xf>
    <xf numFmtId="195" fontId="6" fillId="0" borderId="12" xfId="48" applyNumberFormat="1" applyFont="1" applyFill="1" applyBorder="1" applyAlignment="1">
      <alignment vertical="center"/>
    </xf>
    <xf numFmtId="195" fontId="6" fillId="0" borderId="12" xfId="48" applyNumberFormat="1" applyFont="1" applyBorder="1" applyAlignment="1">
      <alignment horizontal="right" vertical="center"/>
    </xf>
    <xf numFmtId="210" fontId="27" fillId="0" borderId="64" xfId="48" applyNumberFormat="1" applyFont="1" applyFill="1" applyBorder="1" applyAlignment="1">
      <alignment horizontal="right" vertical="center"/>
    </xf>
    <xf numFmtId="41" fontId="6" fillId="0" borderId="68" xfId="48" applyFont="1" applyFill="1" applyBorder="1" applyAlignment="1">
      <alignment horizontal="left" vertical="center" wrapText="1"/>
    </xf>
    <xf numFmtId="41" fontId="28" fillId="0" borderId="47" xfId="48" applyFont="1" applyBorder="1" applyAlignment="1">
      <alignment horizontal="right" vertical="center"/>
    </xf>
    <xf numFmtId="212" fontId="6" fillId="0" borderId="38" xfId="48" applyNumberFormat="1" applyFont="1" applyFill="1" applyBorder="1" applyAlignment="1">
      <alignment horizontal="right" vertical="center"/>
    </xf>
    <xf numFmtId="195" fontId="7" fillId="0" borderId="12" xfId="48" applyNumberFormat="1" applyFont="1" applyFill="1" applyBorder="1" applyAlignment="1">
      <alignment horizontal="right" vertical="center"/>
    </xf>
    <xf numFmtId="0" fontId="11" fillId="0" borderId="16" xfId="0" applyFont="1" applyBorder="1" applyAlignment="1">
      <alignment vertical="center" wrapText="1"/>
    </xf>
    <xf numFmtId="0" fontId="13" fillId="0" borderId="69" xfId="0" applyFont="1" applyBorder="1" applyAlignment="1">
      <alignment horizontal="justify" vertical="center" wrapText="1"/>
    </xf>
    <xf numFmtId="210" fontId="6" fillId="0" borderId="47" xfId="48" applyNumberFormat="1" applyFont="1" applyBorder="1" applyAlignment="1">
      <alignment horizontal="right" vertical="center"/>
    </xf>
    <xf numFmtId="195" fontId="6" fillId="0" borderId="50" xfId="48" applyNumberFormat="1" applyFont="1" applyBorder="1" applyAlignment="1">
      <alignment horizontal="right" vertical="center"/>
    </xf>
    <xf numFmtId="49" fontId="12" fillId="0" borderId="68" xfId="48" applyNumberFormat="1" applyFont="1" applyFill="1" applyBorder="1" applyAlignment="1">
      <alignment horizontal="left" vertical="center" wrapText="1"/>
    </xf>
    <xf numFmtId="178" fontId="12" fillId="0" borderId="22" xfId="48" applyNumberFormat="1" applyFont="1" applyFill="1" applyBorder="1" applyAlignment="1">
      <alignment horizontal="left" vertical="center" wrapText="1"/>
    </xf>
    <xf numFmtId="41" fontId="6" fillId="0" borderId="14" xfId="48" applyFont="1" applyBorder="1" applyAlignment="1">
      <alignment horizontal="center" vertical="center"/>
    </xf>
    <xf numFmtId="41" fontId="8" fillId="0" borderId="63" xfId="0" applyNumberFormat="1" applyFont="1" applyBorder="1" applyAlignment="1">
      <alignment vertical="center"/>
    </xf>
    <xf numFmtId="0" fontId="12" fillId="0" borderId="36" xfId="0" applyFont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195" fontId="6" fillId="0" borderId="50" xfId="48" applyNumberFormat="1" applyFont="1" applyFill="1" applyBorder="1" applyAlignment="1">
      <alignment horizontal="right" vertical="center"/>
    </xf>
    <xf numFmtId="41" fontId="16" fillId="0" borderId="14" xfId="48" applyFont="1" applyBorder="1" applyAlignment="1">
      <alignment horizontal="right" vertical="center"/>
    </xf>
    <xf numFmtId="41" fontId="6" fillId="0" borderId="58" xfId="48" applyFont="1" applyBorder="1" applyAlignment="1">
      <alignment horizontal="right" vertical="center"/>
    </xf>
    <xf numFmtId="41" fontId="6" fillId="0" borderId="50" xfId="48" applyFont="1" applyBorder="1" applyAlignment="1">
      <alignment horizontal="right" vertical="center"/>
    </xf>
    <xf numFmtId="41" fontId="6" fillId="0" borderId="47" xfId="48" applyFont="1" applyBorder="1" applyAlignment="1">
      <alignment horizontal="right" vertical="center"/>
    </xf>
    <xf numFmtId="210" fontId="6" fillId="0" borderId="58" xfId="48" applyNumberFormat="1" applyFont="1" applyFill="1" applyBorder="1" applyAlignment="1">
      <alignment horizontal="right" vertical="center"/>
    </xf>
    <xf numFmtId="210" fontId="6" fillId="0" borderId="47" xfId="48" applyNumberFormat="1" applyFont="1" applyFill="1" applyBorder="1" applyAlignment="1">
      <alignment horizontal="right" vertical="center"/>
    </xf>
    <xf numFmtId="210" fontId="6" fillId="0" borderId="38" xfId="48" applyNumberFormat="1" applyFont="1" applyFill="1" applyBorder="1" applyAlignment="1">
      <alignment horizontal="right" vertical="center"/>
    </xf>
    <xf numFmtId="0" fontId="10" fillId="0" borderId="41" xfId="0" applyFont="1" applyBorder="1" applyAlignment="1">
      <alignment vertical="center" wrapText="1"/>
    </xf>
    <xf numFmtId="41" fontId="6" fillId="0" borderId="64" xfId="48" applyFont="1" applyFill="1" applyBorder="1" applyAlignment="1">
      <alignment horizontal="right" vertical="center"/>
    </xf>
    <xf numFmtId="41" fontId="8" fillId="0" borderId="14" xfId="48" applyFont="1" applyFill="1" applyBorder="1" applyAlignment="1">
      <alignment horizontal="right" vertical="center"/>
    </xf>
    <xf numFmtId="41" fontId="7" fillId="0" borderId="64" xfId="48" applyFont="1" applyFill="1" applyBorder="1" applyAlignment="1">
      <alignment horizontal="right" vertical="center"/>
    </xf>
    <xf numFmtId="41" fontId="27" fillId="0" borderId="64" xfId="48" applyFont="1" applyFill="1" applyBorder="1" applyAlignment="1">
      <alignment horizontal="right" vertical="center"/>
    </xf>
    <xf numFmtId="41" fontId="6" fillId="0" borderId="50" xfId="48" applyFont="1" applyBorder="1" applyAlignment="1">
      <alignment vertical="center"/>
    </xf>
    <xf numFmtId="195" fontId="6" fillId="0" borderId="11" xfId="48" applyNumberFormat="1" applyFont="1" applyBorder="1" applyAlignment="1">
      <alignment horizontal="right" vertical="center"/>
    </xf>
    <xf numFmtId="195" fontId="6" fillId="0" borderId="14" xfId="48" applyNumberFormat="1" applyFont="1" applyBorder="1" applyAlignment="1">
      <alignment horizontal="right" vertical="center"/>
    </xf>
    <xf numFmtId="41" fontId="12" fillId="0" borderId="70" xfId="48" applyFont="1" applyFill="1" applyBorder="1" applyAlignment="1">
      <alignment horizontal="left" vertical="center" wrapText="1"/>
    </xf>
    <xf numFmtId="195" fontId="6" fillId="0" borderId="64" xfId="48" applyNumberFormat="1" applyFont="1" applyBorder="1" applyAlignment="1">
      <alignment horizontal="right" vertical="center"/>
    </xf>
    <xf numFmtId="200" fontId="28" fillId="0" borderId="47" xfId="48" applyNumberFormat="1" applyFont="1" applyBorder="1" applyAlignment="1">
      <alignment vertical="center"/>
    </xf>
    <xf numFmtId="41" fontId="18" fillId="0" borderId="45" xfId="48" applyFont="1" applyFill="1" applyBorder="1" applyAlignment="1">
      <alignment horizontal="right" vertical="center"/>
    </xf>
    <xf numFmtId="41" fontId="0" fillId="0" borderId="50" xfId="48" applyFont="1" applyFill="1" applyBorder="1" applyAlignment="1">
      <alignment horizontal="right" vertical="center"/>
    </xf>
    <xf numFmtId="41" fontId="18" fillId="0" borderId="69" xfId="48" applyFont="1" applyFill="1" applyBorder="1" applyAlignment="1">
      <alignment horizontal="right" vertical="center"/>
    </xf>
    <xf numFmtId="41" fontId="8" fillId="0" borderId="35" xfId="48" applyFont="1" applyFill="1" applyBorder="1" applyAlignment="1">
      <alignment horizontal="right" vertical="center"/>
    </xf>
    <xf numFmtId="41" fontId="6" fillId="0" borderId="35" xfId="48" applyFont="1" applyFill="1" applyBorder="1" applyAlignment="1">
      <alignment horizontal="right" vertical="center"/>
    </xf>
    <xf numFmtId="41" fontId="6" fillId="0" borderId="12" xfId="48" applyFont="1" applyFill="1" applyBorder="1" applyAlignment="1">
      <alignment horizontal="right" vertical="center"/>
    </xf>
    <xf numFmtId="195" fontId="8" fillId="0" borderId="50" xfId="48" applyNumberFormat="1" applyFont="1" applyBorder="1" applyAlignment="1">
      <alignment horizontal="right" vertical="center"/>
    </xf>
    <xf numFmtId="200" fontId="6" fillId="0" borderId="50" xfId="48" applyNumberFormat="1" applyFont="1" applyBorder="1" applyAlignment="1">
      <alignment horizontal="right" vertical="center"/>
    </xf>
    <xf numFmtId="0" fontId="10" fillId="0" borderId="25" xfId="0" applyFont="1" applyBorder="1" applyAlignment="1">
      <alignment horizontal="left" vertical="center" wrapText="1"/>
    </xf>
    <xf numFmtId="210" fontId="6" fillId="0" borderId="14" xfId="48" applyNumberFormat="1" applyFont="1" applyFill="1" applyBorder="1" applyAlignment="1">
      <alignment horizontal="right" vertical="center"/>
    </xf>
    <xf numFmtId="210" fontId="28" fillId="0" borderId="71" xfId="48" applyNumberFormat="1" applyFont="1" applyFill="1" applyBorder="1" applyAlignment="1">
      <alignment horizontal="right" vertical="center"/>
    </xf>
    <xf numFmtId="41" fontId="28" fillId="0" borderId="70" xfId="48" applyFont="1" applyFill="1" applyBorder="1" applyAlignment="1">
      <alignment horizontal="right" vertical="center"/>
    </xf>
    <xf numFmtId="41" fontId="28" fillId="0" borderId="71" xfId="48" applyFont="1" applyFill="1" applyBorder="1" applyAlignment="1">
      <alignment horizontal="right" vertical="center"/>
    </xf>
    <xf numFmtId="41" fontId="28" fillId="0" borderId="60" xfId="48" applyFont="1" applyFill="1" applyBorder="1" applyAlignment="1">
      <alignment horizontal="right" vertical="center"/>
    </xf>
    <xf numFmtId="210" fontId="28" fillId="0" borderId="41" xfId="48" applyNumberFormat="1" applyFont="1" applyFill="1" applyBorder="1" applyAlignment="1">
      <alignment horizontal="right" vertical="center"/>
    </xf>
    <xf numFmtId="193" fontId="6" fillId="0" borderId="11" xfId="0" applyNumberFormat="1" applyFont="1" applyBorder="1" applyAlignment="1">
      <alignment vertical="center"/>
    </xf>
    <xf numFmtId="0" fontId="10" fillId="0" borderId="70" xfId="0" applyFont="1" applyBorder="1" applyAlignment="1">
      <alignment horizontal="justify" vertical="center" wrapText="1"/>
    </xf>
    <xf numFmtId="0" fontId="13" fillId="0" borderId="17" xfId="0" applyFont="1" applyBorder="1" applyAlignment="1">
      <alignment horizontal="justify" vertical="center" wrapText="1"/>
    </xf>
    <xf numFmtId="41" fontId="6" fillId="0" borderId="35" xfId="48" applyFont="1" applyBorder="1" applyAlignment="1">
      <alignment vertical="center"/>
    </xf>
    <xf numFmtId="41" fontId="12" fillId="0" borderId="69" xfId="48" applyFont="1" applyFill="1" applyBorder="1" applyAlignment="1">
      <alignment horizontal="left" vertical="center" wrapText="1"/>
    </xf>
    <xf numFmtId="49" fontId="6" fillId="0" borderId="10" xfId="48" applyNumberFormat="1" applyFont="1" applyBorder="1" applyAlignment="1">
      <alignment vertical="center"/>
    </xf>
    <xf numFmtId="49" fontId="12" fillId="0" borderId="72" xfId="48" applyNumberFormat="1" applyFont="1" applyFill="1" applyBorder="1" applyAlignment="1">
      <alignment horizontal="left" vertical="center" wrapText="1"/>
    </xf>
    <xf numFmtId="49" fontId="12" fillId="0" borderId="43" xfId="48" applyNumberFormat="1" applyFont="1" applyFill="1" applyBorder="1" applyAlignment="1">
      <alignment horizontal="left" vertical="center" wrapText="1"/>
    </xf>
    <xf numFmtId="0" fontId="12" fillId="0" borderId="46" xfId="0" applyFont="1" applyFill="1" applyBorder="1" applyAlignment="1">
      <alignment horizontal="center" vertical="center" wrapText="1"/>
    </xf>
    <xf numFmtId="210" fontId="6" fillId="0" borderId="50" xfId="48" applyNumberFormat="1" applyFont="1" applyBorder="1" applyAlignment="1">
      <alignment horizontal="right" vertical="center"/>
    </xf>
    <xf numFmtId="41" fontId="12" fillId="0" borderId="72" xfId="48" applyFont="1" applyFill="1" applyBorder="1" applyAlignment="1">
      <alignment horizontal="left" vertical="center" wrapText="1"/>
    </xf>
    <xf numFmtId="41" fontId="6" fillId="0" borderId="48" xfId="48" applyFont="1" applyBorder="1" applyAlignment="1">
      <alignment vertical="center"/>
    </xf>
    <xf numFmtId="195" fontId="6" fillId="0" borderId="47" xfId="48" applyNumberFormat="1" applyFont="1" applyBorder="1" applyAlignment="1">
      <alignment horizontal="right" vertical="center"/>
    </xf>
    <xf numFmtId="0" fontId="6" fillId="0" borderId="42" xfId="0" applyFont="1" applyBorder="1" applyAlignment="1">
      <alignment vertical="center"/>
    </xf>
    <xf numFmtId="0" fontId="10" fillId="0" borderId="69" xfId="0" applyFont="1" applyBorder="1" applyAlignment="1">
      <alignment horizontal="justify" vertical="center" wrapText="1"/>
    </xf>
    <xf numFmtId="210" fontId="8" fillId="0" borderId="38" xfId="48" applyNumberFormat="1" applyFont="1" applyFill="1" applyBorder="1" applyAlignment="1">
      <alignment horizontal="right" vertical="center"/>
    </xf>
    <xf numFmtId="43" fontId="7" fillId="0" borderId="0" xfId="0" applyNumberFormat="1" applyFont="1" applyAlignment="1">
      <alignment vertical="center"/>
    </xf>
    <xf numFmtId="41" fontId="6" fillId="0" borderId="47" xfId="48" applyFont="1" applyFill="1" applyBorder="1" applyAlignment="1">
      <alignment horizontal="right" vertical="center"/>
    </xf>
    <xf numFmtId="41" fontId="6" fillId="0" borderId="14" xfId="48" applyFont="1" applyBorder="1" applyAlignment="1">
      <alignment horizontal="right" vertical="center"/>
    </xf>
    <xf numFmtId="0" fontId="71" fillId="33" borderId="10" xfId="0" applyFont="1" applyFill="1" applyBorder="1" applyAlignment="1">
      <alignment horizontal="center" vertical="center"/>
    </xf>
    <xf numFmtId="195" fontId="71" fillId="33" borderId="10" xfId="0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1" fillId="0" borderId="73" xfId="0" applyFont="1" applyBorder="1" applyAlignment="1">
      <alignment horizontal="center" vertical="center"/>
    </xf>
    <xf numFmtId="0" fontId="21" fillId="0" borderId="74" xfId="0" applyFont="1" applyBorder="1" applyAlignment="1">
      <alignment horizontal="center" vertical="center"/>
    </xf>
    <xf numFmtId="0" fontId="21" fillId="0" borderId="75" xfId="0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195" fontId="2" fillId="0" borderId="63" xfId="0" applyNumberFormat="1" applyFont="1" applyBorder="1" applyAlignment="1">
      <alignment horizontal="center" vertical="center" wrapText="1"/>
    </xf>
    <xf numFmtId="195" fontId="2" fillId="0" borderId="52" xfId="0" applyNumberFormat="1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49" fontId="8" fillId="0" borderId="42" xfId="0" applyNumberFormat="1" applyFont="1" applyBorder="1" applyAlignment="1">
      <alignment horizontal="center" vertical="center" wrapText="1"/>
    </xf>
    <xf numFmtId="49" fontId="12" fillId="0" borderId="46" xfId="0" applyNumberFormat="1" applyFont="1" applyBorder="1" applyAlignment="1">
      <alignment horizontal="center" vertical="center" wrapText="1"/>
    </xf>
    <xf numFmtId="49" fontId="12" fillId="0" borderId="24" xfId="0" applyNumberFormat="1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41" fontId="6" fillId="0" borderId="11" xfId="48" applyFont="1" applyBorder="1" applyAlignment="1">
      <alignment horizontal="center" vertical="center"/>
    </xf>
    <xf numFmtId="41" fontId="6" fillId="0" borderId="12" xfId="48" applyFont="1" applyBorder="1" applyAlignment="1">
      <alignment horizontal="center" vertical="center"/>
    </xf>
    <xf numFmtId="41" fontId="6" fillId="0" borderId="11" xfId="48" applyFont="1" applyBorder="1" applyAlignment="1">
      <alignment horizontal="right" vertical="center"/>
    </xf>
    <xf numFmtId="41" fontId="6" fillId="0" borderId="12" xfId="48" applyFont="1" applyBorder="1" applyAlignment="1">
      <alignment horizontal="right" vertical="center"/>
    </xf>
    <xf numFmtId="0" fontId="6" fillId="0" borderId="4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41" fontId="6" fillId="0" borderId="50" xfId="48" applyFont="1" applyBorder="1" applyAlignment="1">
      <alignment horizontal="center" vertical="center"/>
    </xf>
    <xf numFmtId="195" fontId="6" fillId="0" borderId="50" xfId="48" applyNumberFormat="1" applyFont="1" applyBorder="1" applyAlignment="1">
      <alignment horizontal="right" vertical="center"/>
    </xf>
    <xf numFmtId="195" fontId="6" fillId="0" borderId="12" xfId="48" applyNumberFormat="1" applyFont="1" applyBorder="1" applyAlignment="1">
      <alignment horizontal="right" vertical="center"/>
    </xf>
    <xf numFmtId="41" fontId="6" fillId="0" borderId="50" xfId="48" applyFont="1" applyBorder="1" applyAlignment="1">
      <alignment horizontal="righ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13</xdr:row>
      <xdr:rowOff>57150</xdr:rowOff>
    </xdr:from>
    <xdr:to>
      <xdr:col>2</xdr:col>
      <xdr:colOff>28575</xdr:colOff>
      <xdr:row>13</xdr:row>
      <xdr:rowOff>466725</xdr:rowOff>
    </xdr:to>
    <xdr:pic>
      <xdr:nvPicPr>
        <xdr:cNvPr id="1" name="그림 1" descr="성안복지재단_logo(70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7229475"/>
          <a:ext cx="2857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52450" y="3524250"/>
          <a:ext cx="4762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52450" y="3524250"/>
          <a:ext cx="4762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3" name="Rectangle 1"/>
        <xdr:cNvSpPr>
          <a:spLocks/>
        </xdr:cNvSpPr>
      </xdr:nvSpPr>
      <xdr:spPr>
        <a:xfrm>
          <a:off x="552450" y="3524250"/>
          <a:ext cx="4762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4" name="Rectangle 2"/>
        <xdr:cNvSpPr>
          <a:spLocks/>
        </xdr:cNvSpPr>
      </xdr:nvSpPr>
      <xdr:spPr>
        <a:xfrm>
          <a:off x="552450" y="3524250"/>
          <a:ext cx="4762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5" name="Rectangle 1"/>
        <xdr:cNvSpPr>
          <a:spLocks/>
        </xdr:cNvSpPr>
      </xdr:nvSpPr>
      <xdr:spPr>
        <a:xfrm>
          <a:off x="1028700" y="3524250"/>
          <a:ext cx="752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1" name="Rectangle 3"/>
        <xdr:cNvSpPr>
          <a:spLocks/>
        </xdr:cNvSpPr>
      </xdr:nvSpPr>
      <xdr:spPr>
        <a:xfrm>
          <a:off x="1076325" y="1419225"/>
          <a:ext cx="666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" name="Rectangle 4"/>
        <xdr:cNvSpPr>
          <a:spLocks/>
        </xdr:cNvSpPr>
      </xdr:nvSpPr>
      <xdr:spPr>
        <a:xfrm>
          <a:off x="1076325" y="1419225"/>
          <a:ext cx="666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076325" y="1419225"/>
          <a:ext cx="666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076325" y="1419225"/>
          <a:ext cx="666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5" sqref="A5:I5"/>
    </sheetView>
  </sheetViews>
  <sheetFormatPr defaultColWidth="8.88671875" defaultRowHeight="13.5"/>
  <cols>
    <col min="1" max="1" width="7.5546875" style="0" customWidth="1"/>
    <col min="2" max="2" width="5.5546875" style="0" customWidth="1"/>
    <col min="3" max="3" width="14.4453125" style="0" customWidth="1"/>
    <col min="4" max="4" width="4.88671875" style="0" customWidth="1"/>
    <col min="5" max="5" width="7.3359375" style="0" customWidth="1"/>
    <col min="6" max="7" width="10.77734375" style="0" customWidth="1"/>
    <col min="8" max="8" width="8.3359375" style="0" customWidth="1"/>
    <col min="9" max="9" width="3.6640625" style="0" customWidth="1"/>
  </cols>
  <sheetData>
    <row r="1" spans="1:9" ht="19.5" customHeight="1">
      <c r="A1" s="171"/>
      <c r="B1" s="171"/>
      <c r="C1" s="171"/>
      <c r="D1" s="171"/>
      <c r="E1" s="171"/>
      <c r="F1" s="171"/>
      <c r="G1" s="171"/>
      <c r="H1" s="171"/>
      <c r="I1" s="171"/>
    </row>
    <row r="2" spans="1:9" ht="38.25" customHeight="1">
      <c r="A2" s="334"/>
      <c r="B2" s="334"/>
      <c r="C2" s="334"/>
      <c r="D2" s="334"/>
      <c r="E2" s="334"/>
      <c r="F2" s="334"/>
      <c r="G2" s="334"/>
      <c r="H2" s="334"/>
      <c r="I2" s="334"/>
    </row>
    <row r="3" spans="1:9" ht="39" customHeight="1">
      <c r="A3" s="172"/>
      <c r="B3" s="172"/>
      <c r="D3" s="172"/>
      <c r="E3" s="172"/>
      <c r="F3" s="172"/>
      <c r="G3" s="172"/>
      <c r="H3" s="172"/>
      <c r="I3" s="172"/>
    </row>
    <row r="4" spans="1:9" ht="39" customHeight="1">
      <c r="A4" s="335" t="s">
        <v>186</v>
      </c>
      <c r="B4" s="335"/>
      <c r="C4" s="335"/>
      <c r="D4" s="335"/>
      <c r="E4" s="335"/>
      <c r="F4" s="335"/>
      <c r="G4" s="335"/>
      <c r="H4" s="335"/>
      <c r="I4" s="335"/>
    </row>
    <row r="5" spans="1:9" ht="39" customHeight="1">
      <c r="A5" s="337" t="s">
        <v>97</v>
      </c>
      <c r="B5" s="337"/>
      <c r="C5" s="337"/>
      <c r="D5" s="337"/>
      <c r="E5" s="337"/>
      <c r="F5" s="337"/>
      <c r="G5" s="337"/>
      <c r="H5" s="337"/>
      <c r="I5" s="337"/>
    </row>
    <row r="6" spans="1:9" ht="57.75" customHeight="1">
      <c r="A6" s="171"/>
      <c r="B6" s="171"/>
      <c r="C6" s="171"/>
      <c r="D6" s="171"/>
      <c r="E6" s="171"/>
      <c r="F6" s="171"/>
      <c r="G6" s="171"/>
      <c r="H6" s="171"/>
      <c r="I6" s="171"/>
    </row>
    <row r="7" spans="1:9" ht="42" customHeight="1">
      <c r="A7" s="171"/>
      <c r="B7" s="171"/>
      <c r="C7" s="171"/>
      <c r="D7" s="171"/>
      <c r="E7" s="171"/>
      <c r="F7" s="171"/>
      <c r="G7" s="171"/>
      <c r="H7" s="171"/>
      <c r="I7" s="171"/>
    </row>
    <row r="8" spans="1:9" ht="57.75" customHeight="1">
      <c r="A8" s="171"/>
      <c r="B8" s="171"/>
      <c r="C8" s="171"/>
      <c r="D8" s="171"/>
      <c r="E8" s="171"/>
      <c r="F8" s="171"/>
      <c r="G8" s="171"/>
      <c r="H8" s="171"/>
      <c r="I8" s="171"/>
    </row>
    <row r="9" spans="1:9" ht="57.75" customHeight="1">
      <c r="A9" s="171"/>
      <c r="B9" s="171"/>
      <c r="C9" s="171"/>
      <c r="D9" s="171"/>
      <c r="E9" s="171"/>
      <c r="F9" s="171"/>
      <c r="G9" s="171"/>
      <c r="H9" s="171"/>
      <c r="I9" s="171"/>
    </row>
    <row r="10" spans="1:9" ht="40.5" customHeight="1">
      <c r="A10" s="171"/>
      <c r="B10" s="171"/>
      <c r="C10" s="171"/>
      <c r="D10" s="171"/>
      <c r="E10" s="171"/>
      <c r="F10" s="171"/>
      <c r="G10" s="171"/>
      <c r="H10" s="171"/>
      <c r="I10" s="171"/>
    </row>
    <row r="11" spans="1:9" ht="40.5" customHeight="1">
      <c r="A11" s="171"/>
      <c r="B11" s="171"/>
      <c r="C11" s="171"/>
      <c r="D11" s="171"/>
      <c r="E11" s="171"/>
      <c r="F11" s="171"/>
      <c r="G11" s="171"/>
      <c r="H11" s="171"/>
      <c r="I11" s="171"/>
    </row>
    <row r="12" spans="1:9" ht="40.5" customHeight="1">
      <c r="A12" s="171"/>
      <c r="B12" s="171"/>
      <c r="C12" s="171"/>
      <c r="D12" s="171"/>
      <c r="E12" s="171"/>
      <c r="F12" s="171"/>
      <c r="G12" s="171"/>
      <c r="H12" s="171"/>
      <c r="I12" s="171"/>
    </row>
    <row r="13" spans="1:9" ht="53.25" customHeight="1">
      <c r="A13" s="171"/>
      <c r="B13" s="171"/>
      <c r="C13" s="171"/>
      <c r="D13" s="171"/>
      <c r="E13" s="171"/>
      <c r="F13" s="171"/>
      <c r="G13" s="171"/>
      <c r="H13" s="171"/>
      <c r="I13" s="171"/>
    </row>
    <row r="14" spans="1:9" ht="40.5" customHeight="1">
      <c r="A14" s="171"/>
      <c r="B14" s="171"/>
      <c r="C14" s="227" t="s">
        <v>96</v>
      </c>
      <c r="D14" s="336" t="s">
        <v>82</v>
      </c>
      <c r="E14" s="336"/>
      <c r="F14" s="336"/>
      <c r="G14" s="336"/>
      <c r="H14" s="336"/>
      <c r="I14" s="171"/>
    </row>
    <row r="15" spans="1:9" ht="34.5" customHeight="1">
      <c r="A15" s="171"/>
      <c r="B15" s="171"/>
      <c r="C15" s="171"/>
      <c r="D15" s="171"/>
      <c r="E15" s="171"/>
      <c r="F15" s="171"/>
      <c r="G15" s="171"/>
      <c r="H15" s="171"/>
      <c r="I15" s="171"/>
    </row>
    <row r="16" spans="1:9" ht="19.5" customHeight="1">
      <c r="A16" s="171"/>
      <c r="B16" s="171"/>
      <c r="C16" s="171"/>
      <c r="D16" s="171"/>
      <c r="E16" s="171"/>
      <c r="F16" s="171"/>
      <c r="G16" s="171"/>
      <c r="H16" s="171"/>
      <c r="I16" s="171"/>
    </row>
    <row r="17" spans="1:9" ht="19.5" customHeight="1">
      <c r="A17" s="173"/>
      <c r="B17" s="147"/>
      <c r="C17" s="171"/>
      <c r="D17" s="171"/>
      <c r="E17" s="171"/>
      <c r="F17" s="171"/>
      <c r="G17" s="171"/>
      <c r="H17" s="171"/>
      <c r="I17" s="174"/>
    </row>
    <row r="18" spans="1:9" ht="19.5" customHeight="1">
      <c r="A18" s="173"/>
      <c r="B18" s="147"/>
      <c r="C18" s="171"/>
      <c r="D18" s="171"/>
      <c r="E18" s="171"/>
      <c r="F18" s="171"/>
      <c r="G18" s="171"/>
      <c r="H18" s="171"/>
      <c r="I18" s="174"/>
    </row>
  </sheetData>
  <sheetProtection/>
  <mergeCells count="4">
    <mergeCell ref="A2:I2"/>
    <mergeCell ref="A4:I4"/>
    <mergeCell ref="D14:H14"/>
    <mergeCell ref="A5:I5"/>
  </mergeCells>
  <printOptions/>
  <pageMargins left="0.9055118110236221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36"/>
  <sheetViews>
    <sheetView zoomScale="80" zoomScaleNormal="80" zoomScalePageLayoutView="0" workbookViewId="0" topLeftCell="A1">
      <selection activeCell="B3" sqref="B3"/>
    </sheetView>
  </sheetViews>
  <sheetFormatPr defaultColWidth="8.88671875" defaultRowHeight="13.5"/>
  <cols>
    <col min="1" max="1" width="3.21484375" style="0" customWidth="1"/>
    <col min="2" max="2" width="5.99609375" style="0" customWidth="1"/>
    <col min="3" max="3" width="16.77734375" style="0" customWidth="1"/>
    <col min="4" max="4" width="20.88671875" style="0" customWidth="1"/>
    <col min="5" max="5" width="15.3359375" style="0" customWidth="1"/>
    <col min="6" max="6" width="18.88671875" style="0" customWidth="1"/>
    <col min="7" max="7" width="14.99609375" style="0" customWidth="1"/>
    <col min="8" max="8" width="18.21484375" style="0" customWidth="1"/>
    <col min="9" max="9" width="2.77734375" style="0" customWidth="1"/>
    <col min="10" max="10" width="16.99609375" style="0" customWidth="1"/>
    <col min="11" max="11" width="12.10546875" style="0" customWidth="1"/>
    <col min="13" max="13" width="16.5546875" style="0" bestFit="1" customWidth="1"/>
    <col min="14" max="14" width="13.77734375" style="0" bestFit="1" customWidth="1"/>
    <col min="15" max="15" width="18.99609375" style="0" customWidth="1"/>
  </cols>
  <sheetData>
    <row r="1" ht="24.75" customHeight="1"/>
    <row r="2" spans="1:10" ht="35.25" customHeight="1">
      <c r="A2" s="115"/>
      <c r="B2" s="345" t="s">
        <v>185</v>
      </c>
      <c r="C2" s="345"/>
      <c r="D2" s="345"/>
      <c r="E2" s="345"/>
      <c r="F2" s="345"/>
      <c r="G2" s="345"/>
      <c r="H2" s="345"/>
      <c r="I2" s="115"/>
      <c r="J2" s="31"/>
    </row>
    <row r="3" spans="2:10" ht="24.75" customHeight="1">
      <c r="B3" s="155"/>
      <c r="C3" s="152"/>
      <c r="D3" s="152"/>
      <c r="E3" s="152"/>
      <c r="F3" s="152"/>
      <c r="G3" s="152"/>
      <c r="H3" s="152"/>
      <c r="I3" s="72"/>
      <c r="J3" s="31"/>
    </row>
    <row r="4" spans="2:9" ht="30" customHeight="1" thickBot="1">
      <c r="B4" s="156" t="s">
        <v>30</v>
      </c>
      <c r="C4" s="153"/>
      <c r="D4" s="153"/>
      <c r="E4" s="153"/>
      <c r="F4" s="153"/>
      <c r="G4" s="153"/>
      <c r="H4" s="154" t="s">
        <v>28</v>
      </c>
      <c r="I4" s="73"/>
    </row>
    <row r="5" spans="2:11" ht="39.75" customHeight="1">
      <c r="B5" s="338" t="s">
        <v>32</v>
      </c>
      <c r="C5" s="339"/>
      <c r="D5" s="338" t="s">
        <v>111</v>
      </c>
      <c r="E5" s="346"/>
      <c r="F5" s="338" t="s">
        <v>112</v>
      </c>
      <c r="G5" s="346"/>
      <c r="H5" s="142" t="s">
        <v>71</v>
      </c>
      <c r="I5" s="80"/>
      <c r="J5" s="31"/>
      <c r="K5" s="51"/>
    </row>
    <row r="6" spans="2:11" ht="30" customHeight="1" thickBot="1">
      <c r="B6" s="340"/>
      <c r="C6" s="341"/>
      <c r="D6" s="217"/>
      <c r="E6" s="218" t="s">
        <v>72</v>
      </c>
      <c r="F6" s="217"/>
      <c r="G6" s="218" t="s">
        <v>72</v>
      </c>
      <c r="H6" s="132"/>
      <c r="I6" s="80"/>
      <c r="K6" s="51"/>
    </row>
    <row r="7" spans="2:15" ht="46.5" customHeight="1" thickBot="1">
      <c r="B7" s="344" t="s">
        <v>33</v>
      </c>
      <c r="C7" s="219" t="s">
        <v>65</v>
      </c>
      <c r="D7" s="220">
        <f>D8+D9+D10+D11+D12+D13+D14+D15</f>
        <v>1454975915</v>
      </c>
      <c r="E7" s="221">
        <v>1</v>
      </c>
      <c r="F7" s="222">
        <f>F8+F9+F10+F11+F12+F13+F14+F15</f>
        <v>1567070276</v>
      </c>
      <c r="G7" s="221">
        <v>1</v>
      </c>
      <c r="H7" s="297">
        <f>F7-D7</f>
        <v>112094361</v>
      </c>
      <c r="I7" s="81"/>
      <c r="J7" s="53"/>
      <c r="K7" s="77"/>
      <c r="N7" s="31">
        <f>F7-F16</f>
        <v>0</v>
      </c>
      <c r="O7" s="31">
        <f>F7-D7</f>
        <v>112094361</v>
      </c>
    </row>
    <row r="8" spans="2:15" ht="42.75" customHeight="1">
      <c r="B8" s="342"/>
      <c r="C8" s="223" t="s">
        <v>100</v>
      </c>
      <c r="D8" s="224">
        <f>'2023세입예산'!E7</f>
        <v>68786170</v>
      </c>
      <c r="E8" s="225">
        <v>0.047</v>
      </c>
      <c r="F8" s="226">
        <f>'2023세입예산'!F7</f>
        <v>69403200</v>
      </c>
      <c r="G8" s="225">
        <v>0.044</v>
      </c>
      <c r="H8" s="308">
        <f aca="true" t="shared" si="0" ref="H8:H23">F8-D8</f>
        <v>617030</v>
      </c>
      <c r="I8" s="81"/>
      <c r="J8" s="31">
        <f>G8-E8</f>
        <v>-0.0030000000000000027</v>
      </c>
      <c r="K8" s="51">
        <f>D8/D7</f>
        <v>0.047276500793485644</v>
      </c>
      <c r="L8" s="51"/>
      <c r="M8" s="51">
        <f>F8/F7</f>
        <v>0.04428850515699527</v>
      </c>
      <c r="O8" s="31">
        <f aca="true" t="shared" si="1" ref="O8:O23">F8-D8</f>
        <v>617030</v>
      </c>
    </row>
    <row r="9" spans="2:15" ht="42.75" customHeight="1">
      <c r="B9" s="342"/>
      <c r="C9" s="74" t="s">
        <v>47</v>
      </c>
      <c r="D9" s="180">
        <f>'2023세입예산'!E9</f>
        <v>54970000</v>
      </c>
      <c r="E9" s="181">
        <v>0.038</v>
      </c>
      <c r="F9" s="182">
        <f>'2023세입예산'!F9</f>
        <v>49660000</v>
      </c>
      <c r="G9" s="181">
        <v>0.032</v>
      </c>
      <c r="H9" s="307">
        <f t="shared" si="0"/>
        <v>-5310000</v>
      </c>
      <c r="I9" s="81"/>
      <c r="J9" s="31">
        <f>G9-E9</f>
        <v>-0.005999999999999998</v>
      </c>
      <c r="K9" s="51">
        <f>D9/D7</f>
        <v>0.0377806941223491</v>
      </c>
      <c r="L9" s="51"/>
      <c r="M9" s="51">
        <f>F9/F7</f>
        <v>0.031689708343367234</v>
      </c>
      <c r="N9" s="31">
        <f>F7-F16</f>
        <v>0</v>
      </c>
      <c r="O9" s="31">
        <f t="shared" si="1"/>
        <v>-5310000</v>
      </c>
    </row>
    <row r="10" spans="2:15" ht="42.75" customHeight="1">
      <c r="B10" s="342"/>
      <c r="C10" s="75" t="s">
        <v>49</v>
      </c>
      <c r="D10" s="183">
        <f>'2023세입예산'!E12</f>
        <v>8740005</v>
      </c>
      <c r="E10" s="184">
        <v>0.006</v>
      </c>
      <c r="F10" s="185">
        <f>'2023세입예산'!F12</f>
        <v>7000000</v>
      </c>
      <c r="G10" s="184">
        <v>0.004</v>
      </c>
      <c r="H10" s="307">
        <f t="shared" si="0"/>
        <v>-1740005</v>
      </c>
      <c r="I10" s="81"/>
      <c r="J10" s="31">
        <f>G10-E10</f>
        <v>-0.002</v>
      </c>
      <c r="K10" s="51">
        <f>D10/D7</f>
        <v>0.006006975723718423</v>
      </c>
      <c r="L10" s="51"/>
      <c r="M10" s="51">
        <f>F10/F7</f>
        <v>0.004466934321457323</v>
      </c>
      <c r="O10" s="31">
        <f t="shared" si="1"/>
        <v>-1740005</v>
      </c>
    </row>
    <row r="11" spans="2:15" ht="42.75" customHeight="1">
      <c r="B11" s="342"/>
      <c r="C11" s="76" t="s">
        <v>99</v>
      </c>
      <c r="D11" s="186">
        <f>'2023세입예산'!E15</f>
        <v>980934040</v>
      </c>
      <c r="E11" s="184">
        <v>0.674</v>
      </c>
      <c r="F11" s="185">
        <f>'2023세입예산'!F15</f>
        <v>1074684000</v>
      </c>
      <c r="G11" s="184">
        <v>0.686</v>
      </c>
      <c r="H11" s="309">
        <f t="shared" si="0"/>
        <v>93749960</v>
      </c>
      <c r="I11" s="81"/>
      <c r="J11" s="31">
        <f>G11-E11</f>
        <v>0.01200000000000001</v>
      </c>
      <c r="K11" s="51">
        <f>D11/D7</f>
        <v>0.6741926308793915</v>
      </c>
      <c r="L11" s="51"/>
      <c r="M11" s="51">
        <f>F11/F7</f>
        <v>0.685791834903006</v>
      </c>
      <c r="O11" s="31">
        <f t="shared" si="1"/>
        <v>93749960</v>
      </c>
    </row>
    <row r="12" spans="2:15" ht="42.75" customHeight="1">
      <c r="B12" s="342"/>
      <c r="C12" s="76" t="s">
        <v>58</v>
      </c>
      <c r="D12" s="186">
        <f>'2023세입예산'!E18</f>
        <v>4000000</v>
      </c>
      <c r="E12" s="188">
        <v>0.003</v>
      </c>
      <c r="F12" s="187">
        <f>'2023세입예산'!F18</f>
        <v>0</v>
      </c>
      <c r="G12" s="188">
        <v>0</v>
      </c>
      <c r="H12" s="307">
        <f t="shared" si="0"/>
        <v>-4000000</v>
      </c>
      <c r="I12" s="81"/>
      <c r="J12" s="31">
        <f aca="true" t="shared" si="2" ref="J12:J23">G12-E12</f>
        <v>-0.003</v>
      </c>
      <c r="K12" s="51">
        <f>D12/D7</f>
        <v>0.002749186401480742</v>
      </c>
      <c r="L12" s="51"/>
      <c r="M12" s="51">
        <f>F12/F7</f>
        <v>0</v>
      </c>
      <c r="O12" s="31">
        <f t="shared" si="1"/>
        <v>-4000000</v>
      </c>
    </row>
    <row r="13" spans="2:15" ht="42.75" customHeight="1">
      <c r="B13" s="342"/>
      <c r="C13" s="75" t="s">
        <v>48</v>
      </c>
      <c r="D13" s="183">
        <f>'2023세입예산'!E20</f>
        <v>260172538</v>
      </c>
      <c r="E13" s="184">
        <v>0.179</v>
      </c>
      <c r="F13" s="185">
        <f>'2023세입예산'!F20</f>
        <v>364723076</v>
      </c>
      <c r="G13" s="184">
        <v>0.233</v>
      </c>
      <c r="H13" s="309">
        <f t="shared" si="0"/>
        <v>104550538</v>
      </c>
      <c r="I13" s="81"/>
      <c r="J13" s="31">
        <f t="shared" si="2"/>
        <v>0.05400000000000002</v>
      </c>
      <c r="K13" s="51">
        <f>D13/D7</f>
        <v>0.1788157008770829</v>
      </c>
      <c r="L13" s="51"/>
      <c r="M13" s="51">
        <f>F13/F7</f>
        <v>0.23274200371598394</v>
      </c>
      <c r="O13" s="31">
        <f t="shared" si="1"/>
        <v>104550538</v>
      </c>
    </row>
    <row r="14" spans="2:15" ht="42.75" customHeight="1">
      <c r="B14" s="342"/>
      <c r="C14" s="228" t="s">
        <v>34</v>
      </c>
      <c r="D14" s="229">
        <f>'2023세입예산'!E23</f>
        <v>1373162</v>
      </c>
      <c r="E14" s="230">
        <v>0.001</v>
      </c>
      <c r="F14" s="231">
        <f>'2023세입예산'!F23</f>
        <v>1600000</v>
      </c>
      <c r="G14" s="230">
        <v>0.001</v>
      </c>
      <c r="H14" s="310">
        <f t="shared" si="0"/>
        <v>226838</v>
      </c>
      <c r="I14" s="81"/>
      <c r="J14" s="31">
        <f t="shared" si="2"/>
        <v>0</v>
      </c>
      <c r="K14" s="51">
        <f>D14/D7</f>
        <v>0.0009437695743575247</v>
      </c>
      <c r="L14" s="51"/>
      <c r="M14" s="51">
        <f>F14/F7</f>
        <v>0.0010210135591902452</v>
      </c>
      <c r="O14" s="31">
        <f t="shared" si="1"/>
        <v>226838</v>
      </c>
    </row>
    <row r="15" spans="2:15" ht="42.75" customHeight="1" thickBot="1">
      <c r="B15" s="343"/>
      <c r="C15" s="146" t="s">
        <v>101</v>
      </c>
      <c r="D15" s="265">
        <f>76000000</f>
        <v>76000000</v>
      </c>
      <c r="E15" s="194">
        <v>0.052</v>
      </c>
      <c r="F15" s="296">
        <f>'2023세입예산'!F26</f>
        <v>0</v>
      </c>
      <c r="G15" s="194">
        <v>0</v>
      </c>
      <c r="H15" s="311">
        <f t="shared" si="0"/>
        <v>-76000000</v>
      </c>
      <c r="I15" s="81"/>
      <c r="J15" s="31">
        <f t="shared" si="2"/>
        <v>-0.052</v>
      </c>
      <c r="K15" s="51">
        <f>D15/D7</f>
        <v>0.052234541628134096</v>
      </c>
      <c r="L15" s="51"/>
      <c r="M15" s="51">
        <f>F15/F7</f>
        <v>0</v>
      </c>
      <c r="O15" s="31">
        <f t="shared" si="1"/>
        <v>-76000000</v>
      </c>
    </row>
    <row r="16" spans="2:15" ht="51.75" customHeight="1" thickBot="1">
      <c r="B16" s="342" t="s">
        <v>35</v>
      </c>
      <c r="C16" s="256" t="s">
        <v>65</v>
      </c>
      <c r="D16" s="257">
        <f>D17+D18+D19+D20+D21+D22+D23</f>
        <v>1454975915</v>
      </c>
      <c r="E16" s="258">
        <v>1</v>
      </c>
      <c r="F16" s="259">
        <f>F17+F18+F19+F20+F21+F22+F23</f>
        <v>1567070276</v>
      </c>
      <c r="G16" s="258">
        <v>1</v>
      </c>
      <c r="H16" s="299">
        <f t="shared" si="0"/>
        <v>112094361</v>
      </c>
      <c r="I16" s="81"/>
      <c r="J16" s="53">
        <f t="shared" si="2"/>
        <v>0</v>
      </c>
      <c r="K16" s="77">
        <f>SUM(K8:K15)</f>
        <v>0.9999999999999999</v>
      </c>
      <c r="L16" s="77"/>
      <c r="M16" s="77">
        <f>SUM(M8:M15)</f>
        <v>1</v>
      </c>
      <c r="O16" s="31">
        <f t="shared" si="1"/>
        <v>112094361</v>
      </c>
    </row>
    <row r="17" spans="2:15" ht="42" customHeight="1">
      <c r="B17" s="342"/>
      <c r="C17" s="74" t="s">
        <v>36</v>
      </c>
      <c r="D17" s="189">
        <f>'2023세출예산'!F8</f>
        <v>1002561820</v>
      </c>
      <c r="E17" s="181">
        <v>0.689</v>
      </c>
      <c r="F17" s="182">
        <f>'2023세출예산'!G8</f>
        <v>1078390670</v>
      </c>
      <c r="G17" s="181">
        <v>0.688</v>
      </c>
      <c r="H17" s="308">
        <f t="shared" si="0"/>
        <v>75828850</v>
      </c>
      <c r="I17" s="81"/>
      <c r="J17" s="31">
        <f t="shared" si="2"/>
        <v>-0.0010000000000000009</v>
      </c>
      <c r="K17" s="51">
        <f>D17/D16</f>
        <v>0.6890573305469458</v>
      </c>
      <c r="M17" s="51">
        <f>F17/F16</f>
        <v>0.6881571851089083</v>
      </c>
      <c r="O17" s="31">
        <f t="shared" si="1"/>
        <v>75828850</v>
      </c>
    </row>
    <row r="18" spans="2:15" ht="42" customHeight="1">
      <c r="B18" s="342"/>
      <c r="C18" s="75" t="s">
        <v>37</v>
      </c>
      <c r="D18" s="190">
        <f>'2023세출예산'!F36</f>
        <v>3247420</v>
      </c>
      <c r="E18" s="184">
        <v>0.003</v>
      </c>
      <c r="F18" s="185">
        <f>'2023세출예산'!G36</f>
        <v>4900000</v>
      </c>
      <c r="G18" s="184">
        <v>0.004</v>
      </c>
      <c r="H18" s="309">
        <f t="shared" si="0"/>
        <v>1652580</v>
      </c>
      <c r="I18" s="81"/>
      <c r="J18" s="31">
        <f t="shared" si="2"/>
        <v>0.001</v>
      </c>
      <c r="K18" s="51">
        <f>D18/D17</f>
        <v>0.003239121952599392</v>
      </c>
      <c r="L18" s="51"/>
      <c r="M18" s="51">
        <f>F18/F17</f>
        <v>0.004543807857684822</v>
      </c>
      <c r="O18" s="31">
        <f t="shared" si="1"/>
        <v>1652580</v>
      </c>
    </row>
    <row r="19" spans="2:15" ht="42" customHeight="1">
      <c r="B19" s="342"/>
      <c r="C19" s="75" t="s">
        <v>98</v>
      </c>
      <c r="D19" s="190">
        <f>'2023세출예산'!F40</f>
        <v>52797067</v>
      </c>
      <c r="E19" s="184">
        <v>0.036</v>
      </c>
      <c r="F19" s="185">
        <f>'2023세출예산'!G40</f>
        <v>83400000</v>
      </c>
      <c r="G19" s="184">
        <v>0.053</v>
      </c>
      <c r="H19" s="309">
        <f t="shared" si="0"/>
        <v>30602933</v>
      </c>
      <c r="I19" s="81"/>
      <c r="J19" s="31">
        <f t="shared" si="2"/>
        <v>0.017</v>
      </c>
      <c r="K19" s="51">
        <f>D19/D16</f>
        <v>0.03628724465861691</v>
      </c>
      <c r="L19" s="51"/>
      <c r="M19" s="51">
        <f>F19/F16</f>
        <v>0.053220331772791535</v>
      </c>
      <c r="O19" s="31">
        <f t="shared" si="1"/>
        <v>30602933</v>
      </c>
    </row>
    <row r="20" spans="2:15" ht="42" customHeight="1">
      <c r="B20" s="342"/>
      <c r="C20" s="75" t="s">
        <v>38</v>
      </c>
      <c r="D20" s="191">
        <f>'2023세출예산'!F55</f>
        <v>9020000</v>
      </c>
      <c r="E20" s="192">
        <v>0.006</v>
      </c>
      <c r="F20" s="185">
        <f>'2023세출예산'!G54</f>
        <v>173317306</v>
      </c>
      <c r="G20" s="192">
        <v>0.11</v>
      </c>
      <c r="H20" s="309">
        <f t="shared" si="0"/>
        <v>164297306</v>
      </c>
      <c r="I20" s="81"/>
      <c r="J20" s="31">
        <f t="shared" si="2"/>
        <v>0.104</v>
      </c>
      <c r="K20" s="51">
        <f>D20/D16</f>
        <v>0.006199415335339073</v>
      </c>
      <c r="L20" s="51"/>
      <c r="M20" s="51">
        <f>F20/F16</f>
        <v>0.11059957466770304</v>
      </c>
      <c r="O20" s="31">
        <f t="shared" si="1"/>
        <v>164297306</v>
      </c>
    </row>
    <row r="21" spans="2:15" ht="42" customHeight="1">
      <c r="B21" s="342"/>
      <c r="C21" s="75" t="s">
        <v>39</v>
      </c>
      <c r="D21" s="190">
        <f>'2023세출예산'!F56</f>
        <v>20200560</v>
      </c>
      <c r="E21" s="184">
        <v>0.014</v>
      </c>
      <c r="F21" s="185">
        <f>'2023세출예산'!G56</f>
        <v>24560000</v>
      </c>
      <c r="G21" s="184">
        <v>0.016</v>
      </c>
      <c r="H21" s="309">
        <f t="shared" si="0"/>
        <v>4359440</v>
      </c>
      <c r="I21" s="81"/>
      <c r="J21" s="31">
        <f t="shared" si="2"/>
        <v>0.002</v>
      </c>
      <c r="K21" s="51">
        <f>D21/D16</f>
        <v>0.013883776213573954</v>
      </c>
      <c r="L21" s="51"/>
      <c r="M21" s="51">
        <f>F21/F16</f>
        <v>0.015672558133570266</v>
      </c>
      <c r="O21" s="31">
        <f t="shared" si="1"/>
        <v>4359440</v>
      </c>
    </row>
    <row r="22" spans="2:15" ht="42" customHeight="1">
      <c r="B22" s="342"/>
      <c r="C22" s="75" t="s">
        <v>40</v>
      </c>
      <c r="D22" s="190">
        <f>'2023세출예산'!F66</f>
        <v>2425972</v>
      </c>
      <c r="E22" s="184">
        <v>0.002</v>
      </c>
      <c r="F22" s="185">
        <f>'2023세출예산'!G66</f>
        <v>2500000</v>
      </c>
      <c r="G22" s="184">
        <v>0.002</v>
      </c>
      <c r="H22" s="309">
        <f t="shared" si="0"/>
        <v>74028</v>
      </c>
      <c r="I22" s="81"/>
      <c r="J22" s="31">
        <f t="shared" si="2"/>
        <v>0</v>
      </c>
      <c r="K22" s="51">
        <f>D22/D16</f>
        <v>0.0016673623081932597</v>
      </c>
      <c r="L22" s="51"/>
      <c r="M22" s="51">
        <f>F22/F16</f>
        <v>0.0015953336862347582</v>
      </c>
      <c r="O22" s="31">
        <f t="shared" si="1"/>
        <v>74028</v>
      </c>
    </row>
    <row r="23" spans="2:15" ht="42" customHeight="1" thickBot="1">
      <c r="B23" s="343"/>
      <c r="C23" s="146" t="s">
        <v>41</v>
      </c>
      <c r="D23" s="193">
        <f>'2023세출예산'!F68</f>
        <v>364723076</v>
      </c>
      <c r="E23" s="196">
        <v>0.25</v>
      </c>
      <c r="F23" s="195">
        <f>'2023세출예산'!G68</f>
        <v>200002300</v>
      </c>
      <c r="G23" s="196">
        <v>0.127</v>
      </c>
      <c r="H23" s="311">
        <f t="shared" si="0"/>
        <v>-164720776</v>
      </c>
      <c r="I23" s="81"/>
      <c r="J23" s="31">
        <f t="shared" si="2"/>
        <v>-0.123</v>
      </c>
      <c r="K23" s="51">
        <f>D23/D16</f>
        <v>0.2506729302113568</v>
      </c>
      <c r="L23" s="51"/>
      <c r="M23" s="51">
        <f>F23/F16</f>
        <v>0.127628162605772</v>
      </c>
      <c r="O23" s="31">
        <f t="shared" si="1"/>
        <v>-164720776</v>
      </c>
    </row>
    <row r="24" spans="7:13" ht="13.5">
      <c r="G24" s="31"/>
      <c r="K24" s="51">
        <f>SUM(K17:K23)</f>
        <v>1.0010071812266252</v>
      </c>
      <c r="M24" s="51">
        <f>SUM(M17:M23)</f>
        <v>1.0014169538326647</v>
      </c>
    </row>
    <row r="25" ht="13.5">
      <c r="G25" s="31"/>
    </row>
    <row r="26" spans="3:9" ht="13.5">
      <c r="C26" s="51"/>
      <c r="D26" s="51"/>
      <c r="F26" s="31">
        <f>F7-F16</f>
        <v>0</v>
      </c>
      <c r="G26" s="50"/>
      <c r="H26" s="52"/>
      <c r="I26" s="52"/>
    </row>
    <row r="27" spans="3:7" ht="13.5">
      <c r="C27" s="51"/>
      <c r="D27" s="51"/>
      <c r="G27" s="31"/>
    </row>
    <row r="28" spans="3:8" ht="13.5">
      <c r="C28" s="51"/>
      <c r="D28" s="51"/>
      <c r="H28" s="31"/>
    </row>
    <row r="29" spans="3:10" ht="13.5">
      <c r="C29" s="51"/>
      <c r="D29" s="51"/>
      <c r="E29" s="31" t="s">
        <v>55</v>
      </c>
      <c r="F29" s="31">
        <f>F8+F9+F10+F11+F12+F14</f>
        <v>1202347200</v>
      </c>
      <c r="G29" s="31">
        <f>G8+G9+G10+G11+G12+G14</f>
        <v>0.767</v>
      </c>
      <c r="H29" s="100"/>
      <c r="J29" s="31"/>
    </row>
    <row r="30" spans="5:10" ht="13.5">
      <c r="E30" s="31" t="s">
        <v>56</v>
      </c>
      <c r="F30" s="31">
        <f>F17+F18+F19+F20+F21+F22</f>
        <v>1367067976</v>
      </c>
      <c r="G30" s="31">
        <f>G17+G18+G19+G20+G21+G22</f>
        <v>0.873</v>
      </c>
      <c r="J30">
        <f>F23/F16*100</f>
        <v>12.7628162605772</v>
      </c>
    </row>
    <row r="31" spans="5:8" ht="13.5">
      <c r="E31" s="31"/>
      <c r="F31" s="31">
        <f>F29-F30</f>
        <v>-164720776</v>
      </c>
      <c r="G31" s="31">
        <f>G29-G30</f>
        <v>-0.10599999999999998</v>
      </c>
      <c r="H31" s="31"/>
    </row>
    <row r="33" ht="13.5">
      <c r="F33" s="100"/>
    </row>
    <row r="34" spans="5:6" ht="13.5">
      <c r="E34" t="s">
        <v>55</v>
      </c>
      <c r="F34" s="31">
        <f>F8+F9+F10+F11+F14</f>
        <v>1202347200</v>
      </c>
    </row>
    <row r="35" spans="5:6" ht="13.5">
      <c r="E35" t="s">
        <v>175</v>
      </c>
      <c r="F35" s="31">
        <f>F17+F18+F19+F21+F22</f>
        <v>1193750670</v>
      </c>
    </row>
    <row r="36" spans="5:6" ht="13.5">
      <c r="E36" t="s">
        <v>174</v>
      </c>
      <c r="F36" s="31">
        <f>F34-F35</f>
        <v>8596530</v>
      </c>
    </row>
  </sheetData>
  <sheetProtection/>
  <mergeCells count="6">
    <mergeCell ref="B5:C6"/>
    <mergeCell ref="B16:B23"/>
    <mergeCell ref="B7:B15"/>
    <mergeCell ref="B2:H2"/>
    <mergeCell ref="D5:E5"/>
    <mergeCell ref="F5:G5"/>
  </mergeCells>
  <printOptions horizontalCentered="1" verticalCentered="1"/>
  <pageMargins left="0.4330708661417323" right="0.4330708661417323" top="0.7480314960629921" bottom="0.7480314960629921" header="0.31496062992125984" footer="0.31496062992125984"/>
  <pageSetup fitToHeight="1" fitToWidth="1" horizontalDpi="600" verticalDpi="600" orientation="portrait" paperSize="9" scale="40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B2:P107"/>
  <sheetViews>
    <sheetView zoomScale="90" zoomScaleNormal="90" zoomScalePageLayoutView="0" workbookViewId="0" topLeftCell="A1">
      <selection activeCell="F22" sqref="F22"/>
    </sheetView>
  </sheetViews>
  <sheetFormatPr defaultColWidth="8.88671875" defaultRowHeight="13.5"/>
  <cols>
    <col min="1" max="1" width="1.2265625" style="0" customWidth="1"/>
    <col min="2" max="2" width="5.21484375" style="0" customWidth="1"/>
    <col min="3" max="3" width="5.5546875" style="0" customWidth="1"/>
    <col min="4" max="4" width="8.77734375" style="0" customWidth="1"/>
    <col min="5" max="6" width="12.77734375" style="57" customWidth="1"/>
    <col min="7" max="7" width="13.6640625" style="57" customWidth="1"/>
    <col min="8" max="8" width="27.5546875" style="0" customWidth="1"/>
    <col min="9" max="9" width="3.21484375" style="0" customWidth="1"/>
    <col min="10" max="10" width="13.3359375" style="57" bestFit="1" customWidth="1"/>
    <col min="11" max="11" width="11.5546875" style="0" bestFit="1" customWidth="1"/>
    <col min="12" max="12" width="13.6640625" style="0" customWidth="1"/>
    <col min="13" max="13" width="13.4453125" style="0" customWidth="1"/>
    <col min="14" max="14" width="14.5546875" style="0" customWidth="1"/>
    <col min="15" max="15" width="12.6640625" style="0" bestFit="1" customWidth="1"/>
    <col min="16" max="16" width="12.99609375" style="0" customWidth="1"/>
  </cols>
  <sheetData>
    <row r="2" spans="2:9" ht="22.5" customHeight="1">
      <c r="B2" s="171" t="s">
        <v>46</v>
      </c>
      <c r="D2" s="22"/>
      <c r="E2" s="56"/>
      <c r="F2" s="56"/>
      <c r="G2" s="56"/>
      <c r="H2" s="22"/>
      <c r="I2" s="22"/>
    </row>
    <row r="3" spans="4:9" ht="19.5" customHeight="1" thickBot="1">
      <c r="D3" s="38"/>
      <c r="E3" s="59"/>
      <c r="F3" s="56"/>
      <c r="G3" s="56"/>
      <c r="H3" s="39" t="s">
        <v>5</v>
      </c>
      <c r="I3" s="46"/>
    </row>
    <row r="4" spans="2:15" ht="20.25" customHeight="1">
      <c r="B4" s="359" t="s">
        <v>62</v>
      </c>
      <c r="C4" s="360"/>
      <c r="D4" s="361"/>
      <c r="E4" s="353" t="s">
        <v>111</v>
      </c>
      <c r="F4" s="353" t="s">
        <v>113</v>
      </c>
      <c r="G4" s="357" t="s">
        <v>2</v>
      </c>
      <c r="H4" s="355" t="s">
        <v>7</v>
      </c>
      <c r="I4" s="84"/>
      <c r="M4" s="331">
        <v>2022</v>
      </c>
      <c r="N4" s="331">
        <v>2023</v>
      </c>
      <c r="O4" s="331"/>
    </row>
    <row r="5" spans="2:15" ht="21" customHeight="1" thickBot="1">
      <c r="B5" s="13" t="s">
        <v>8</v>
      </c>
      <c r="C5" s="13" t="s">
        <v>9</v>
      </c>
      <c r="D5" s="14" t="s">
        <v>10</v>
      </c>
      <c r="E5" s="354"/>
      <c r="F5" s="354"/>
      <c r="G5" s="358"/>
      <c r="H5" s="356"/>
      <c r="I5" s="84"/>
      <c r="M5" s="331" t="s">
        <v>173</v>
      </c>
      <c r="N5" s="331" t="s">
        <v>173</v>
      </c>
      <c r="O5" s="331" t="s">
        <v>174</v>
      </c>
    </row>
    <row r="6" spans="2:15" ht="60" customHeight="1" thickBot="1">
      <c r="B6" s="132"/>
      <c r="C6" s="132"/>
      <c r="D6" s="134" t="s">
        <v>65</v>
      </c>
      <c r="E6" s="178">
        <f>E7+E9+E12+E15+E18+E20+E23+E26</f>
        <v>1454975915</v>
      </c>
      <c r="F6" s="179">
        <f>F7+F9+F12+F15+F18+F20+F3+F23+F26</f>
        <v>1567070276</v>
      </c>
      <c r="G6" s="300">
        <f aca="true" t="shared" si="0" ref="G6:G11">F6-E6</f>
        <v>112094361</v>
      </c>
      <c r="H6" s="133"/>
      <c r="I6" s="84"/>
      <c r="J6" s="57">
        <f>F6-E6</f>
        <v>112094361</v>
      </c>
      <c r="M6" s="332">
        <f>E8+E16+E17</f>
        <v>1049720210</v>
      </c>
      <c r="N6" s="332">
        <f>F8+F16+F17</f>
        <v>1144087200</v>
      </c>
      <c r="O6" s="332">
        <f>N6-M6</f>
        <v>94366990</v>
      </c>
    </row>
    <row r="7" spans="2:15" ht="49.5" customHeight="1" thickBot="1">
      <c r="B7" s="351" t="s">
        <v>63</v>
      </c>
      <c r="C7" s="351" t="s">
        <v>91</v>
      </c>
      <c r="D7" s="140" t="s">
        <v>66</v>
      </c>
      <c r="E7" s="144">
        <f>E8</f>
        <v>68786170</v>
      </c>
      <c r="F7" s="260">
        <f>F8</f>
        <v>69403200</v>
      </c>
      <c r="G7" s="300">
        <f t="shared" si="0"/>
        <v>617030</v>
      </c>
      <c r="H7" s="126"/>
      <c r="I7" s="85"/>
      <c r="J7" s="57">
        <f aca="true" t="shared" si="1" ref="J7:J28">F7-E7</f>
        <v>617030</v>
      </c>
      <c r="K7" s="100"/>
      <c r="M7" s="100"/>
      <c r="N7" s="31"/>
      <c r="O7" s="31"/>
    </row>
    <row r="8" spans="2:15" ht="71.25" customHeight="1" thickBot="1">
      <c r="B8" s="352"/>
      <c r="C8" s="352"/>
      <c r="D8" s="117" t="s">
        <v>67</v>
      </c>
      <c r="E8" s="261">
        <f>56605190+12180980</f>
        <v>68786170</v>
      </c>
      <c r="F8" s="261">
        <f>60000000+9403200</f>
        <v>69403200</v>
      </c>
      <c r="G8" s="301">
        <f t="shared" si="0"/>
        <v>617030</v>
      </c>
      <c r="H8" s="112" t="s">
        <v>163</v>
      </c>
      <c r="I8" s="85"/>
      <c r="J8" s="57">
        <f t="shared" si="1"/>
        <v>617030</v>
      </c>
      <c r="K8" s="100"/>
      <c r="M8" s="100"/>
      <c r="N8" s="31"/>
      <c r="O8" s="31"/>
    </row>
    <row r="9" spans="2:15" s="1" customFormat="1" ht="49.5" customHeight="1" thickBot="1">
      <c r="B9" s="54" t="s">
        <v>61</v>
      </c>
      <c r="C9" s="54" t="s">
        <v>61</v>
      </c>
      <c r="D9" s="140" t="s">
        <v>66</v>
      </c>
      <c r="E9" s="151">
        <f>E10+E11</f>
        <v>54970000</v>
      </c>
      <c r="F9" s="151">
        <f>F10+F11</f>
        <v>49660000</v>
      </c>
      <c r="G9" s="255">
        <f t="shared" si="0"/>
        <v>-5310000</v>
      </c>
      <c r="H9" s="200"/>
      <c r="I9" s="86"/>
      <c r="J9" s="57">
        <f t="shared" si="1"/>
        <v>-5310000</v>
      </c>
      <c r="K9" s="49"/>
      <c r="N9" s="129"/>
      <c r="O9" s="328"/>
    </row>
    <row r="10" spans="2:11" s="1" customFormat="1" ht="42" customHeight="1">
      <c r="B10" s="20"/>
      <c r="C10" s="20"/>
      <c r="D10" s="20" t="s">
        <v>93</v>
      </c>
      <c r="E10" s="262">
        <f>17500000+10000000</f>
        <v>27500000</v>
      </c>
      <c r="F10" s="262">
        <f>20000000</f>
        <v>20000000</v>
      </c>
      <c r="G10" s="283">
        <f t="shared" si="0"/>
        <v>-7500000</v>
      </c>
      <c r="H10" s="199" t="s">
        <v>136</v>
      </c>
      <c r="I10" s="86"/>
      <c r="J10" s="57">
        <f t="shared" si="1"/>
        <v>-7500000</v>
      </c>
      <c r="K10" s="49"/>
    </row>
    <row r="11" spans="2:11" s="1" customFormat="1" ht="228.75" customHeight="1" thickBot="1">
      <c r="B11" s="20"/>
      <c r="C11" s="20"/>
      <c r="D11" s="114" t="s">
        <v>81</v>
      </c>
      <c r="E11" s="278">
        <f>1800000+2160000+4080000+2400000+1620000+600000+2400000+2040000+10200000+170000</f>
        <v>27470000</v>
      </c>
      <c r="F11" s="278">
        <f>1800000+2220000+4080000+4800000+2400000+2120000+12240000</f>
        <v>29660000</v>
      </c>
      <c r="G11" s="329">
        <f t="shared" si="0"/>
        <v>2190000</v>
      </c>
      <c r="H11" s="286" t="s">
        <v>134</v>
      </c>
      <c r="I11" s="86"/>
      <c r="J11" s="57">
        <f t="shared" si="1"/>
        <v>2190000</v>
      </c>
      <c r="K11" s="49"/>
    </row>
    <row r="12" spans="2:10" s="6" customFormat="1" ht="41.25" customHeight="1" thickBot="1">
      <c r="B12" s="54" t="s">
        <v>42</v>
      </c>
      <c r="C12" s="54" t="s">
        <v>3</v>
      </c>
      <c r="D12" s="140" t="s">
        <v>66</v>
      </c>
      <c r="E12" s="144">
        <f>E13+E14</f>
        <v>8740005</v>
      </c>
      <c r="F12" s="144">
        <f>F13+F14</f>
        <v>7000000</v>
      </c>
      <c r="G12" s="306">
        <f aca="true" t="shared" si="2" ref="G12:G19">F12-E12</f>
        <v>-1740005</v>
      </c>
      <c r="H12" s="124"/>
      <c r="I12" s="85"/>
      <c r="J12" s="57">
        <f t="shared" si="1"/>
        <v>-1740005</v>
      </c>
    </row>
    <row r="13" spans="2:10" s="6" customFormat="1" ht="65.25" customHeight="1">
      <c r="B13" s="20"/>
      <c r="C13" s="215"/>
      <c r="D13" s="64" t="s">
        <v>31</v>
      </c>
      <c r="E13" s="60">
        <f>3000000+400005+200000+420000+2720000</f>
        <v>6740005</v>
      </c>
      <c r="F13" s="60">
        <f>3000000+4000000</f>
        <v>7000000</v>
      </c>
      <c r="G13" s="302">
        <f t="shared" si="2"/>
        <v>259995</v>
      </c>
      <c r="H13" s="102" t="s">
        <v>137</v>
      </c>
      <c r="I13" s="85"/>
      <c r="J13" s="57">
        <f t="shared" si="1"/>
        <v>259995</v>
      </c>
    </row>
    <row r="14" spans="2:10" s="6" customFormat="1" ht="38.25" customHeight="1" thickBot="1">
      <c r="B14" s="130"/>
      <c r="C14" s="216"/>
      <c r="D14" s="130" t="s">
        <v>44</v>
      </c>
      <c r="E14" s="167">
        <f>2000000</f>
        <v>2000000</v>
      </c>
      <c r="F14" s="167">
        <v>0</v>
      </c>
      <c r="G14" s="285">
        <f t="shared" si="2"/>
        <v>-2000000</v>
      </c>
      <c r="H14" s="94" t="s">
        <v>133</v>
      </c>
      <c r="I14" s="85"/>
      <c r="J14" s="57">
        <f t="shared" si="1"/>
        <v>-2000000</v>
      </c>
    </row>
    <row r="15" spans="2:10" s="6" customFormat="1" ht="49.5" customHeight="1" thickBot="1">
      <c r="B15" s="54" t="s">
        <v>90</v>
      </c>
      <c r="C15" s="214" t="s">
        <v>90</v>
      </c>
      <c r="D15" s="138" t="s">
        <v>66</v>
      </c>
      <c r="E15" s="144">
        <f>E16+E17</f>
        <v>980934040</v>
      </c>
      <c r="F15" s="144">
        <f>F16+F17</f>
        <v>1074684000</v>
      </c>
      <c r="G15" s="290">
        <f t="shared" si="2"/>
        <v>93749960</v>
      </c>
      <c r="H15" s="124"/>
      <c r="I15" s="85"/>
      <c r="J15" s="57">
        <f t="shared" si="1"/>
        <v>93749960</v>
      </c>
    </row>
    <row r="16" spans="2:16" s="6" customFormat="1" ht="46.5" customHeight="1">
      <c r="B16" s="20"/>
      <c r="C16" s="215"/>
      <c r="D16" s="54" t="s">
        <v>92</v>
      </c>
      <c r="E16" s="237">
        <f>686013340+131222320+13260000+75000000</f>
        <v>905495660</v>
      </c>
      <c r="F16" s="237">
        <f>825600000+148344000+20340000</f>
        <v>994284000</v>
      </c>
      <c r="G16" s="289">
        <f t="shared" si="2"/>
        <v>88788340</v>
      </c>
      <c r="H16" s="238" t="s">
        <v>165</v>
      </c>
      <c r="I16" s="87"/>
      <c r="J16" s="57">
        <f t="shared" si="1"/>
        <v>88788340</v>
      </c>
      <c r="K16" s="97"/>
      <c r="L16" s="43"/>
      <c r="M16" s="97"/>
      <c r="N16" s="97"/>
      <c r="O16" s="97"/>
      <c r="P16" s="43"/>
    </row>
    <row r="17" spans="2:16" s="6" customFormat="1" ht="60" customHeight="1" thickBot="1">
      <c r="B17" s="130"/>
      <c r="C17" s="130"/>
      <c r="D17" s="149" t="s">
        <v>78</v>
      </c>
      <c r="E17" s="150">
        <f>59309240+11129140+5000000</f>
        <v>75438380</v>
      </c>
      <c r="F17" s="150">
        <f>66000000+14400000</f>
        <v>80400000</v>
      </c>
      <c r="G17" s="267">
        <f t="shared" si="2"/>
        <v>4961620</v>
      </c>
      <c r="H17" s="99" t="s">
        <v>164</v>
      </c>
      <c r="I17" s="87"/>
      <c r="J17" s="57">
        <f t="shared" si="1"/>
        <v>4961620</v>
      </c>
      <c r="K17" s="97"/>
      <c r="L17" s="43"/>
      <c r="M17" s="97"/>
      <c r="N17" s="97"/>
      <c r="O17" s="97"/>
      <c r="P17" s="43"/>
    </row>
    <row r="18" spans="2:16" s="6" customFormat="1" ht="49.5" customHeight="1" thickBot="1">
      <c r="B18" s="54" t="s">
        <v>53</v>
      </c>
      <c r="C18" s="54" t="s">
        <v>54</v>
      </c>
      <c r="D18" s="135" t="s">
        <v>66</v>
      </c>
      <c r="E18" s="143">
        <f>E19</f>
        <v>4000000</v>
      </c>
      <c r="F18" s="143">
        <f>F19</f>
        <v>0</v>
      </c>
      <c r="G18" s="263">
        <f t="shared" si="2"/>
        <v>-4000000</v>
      </c>
      <c r="H18" s="110" t="s">
        <v>68</v>
      </c>
      <c r="I18" s="85"/>
      <c r="J18" s="57">
        <f t="shared" si="1"/>
        <v>-4000000</v>
      </c>
      <c r="K18" s="48"/>
      <c r="L18" s="48"/>
      <c r="M18" s="48"/>
      <c r="N18" s="48"/>
      <c r="O18" s="48"/>
      <c r="P18" s="48"/>
    </row>
    <row r="19" spans="2:16" s="6" customFormat="1" ht="42" customHeight="1" thickBot="1">
      <c r="B19" s="130"/>
      <c r="C19" s="130"/>
      <c r="D19" s="137" t="s">
        <v>79</v>
      </c>
      <c r="E19" s="136">
        <f>4000000</f>
        <v>4000000</v>
      </c>
      <c r="F19" s="136">
        <v>0</v>
      </c>
      <c r="G19" s="263">
        <f t="shared" si="2"/>
        <v>-4000000</v>
      </c>
      <c r="H19" s="126" t="s">
        <v>140</v>
      </c>
      <c r="I19" s="85"/>
      <c r="J19" s="57">
        <f t="shared" si="1"/>
        <v>-4000000</v>
      </c>
      <c r="K19" s="48"/>
      <c r="L19" s="48"/>
      <c r="M19" s="6" t="s">
        <v>142</v>
      </c>
      <c r="N19" s="48" t="s">
        <v>143</v>
      </c>
      <c r="O19" s="48"/>
      <c r="P19" s="48"/>
    </row>
    <row r="20" spans="2:14" s="6" customFormat="1" ht="49.5" customHeight="1" thickBot="1">
      <c r="B20" s="34" t="s">
        <v>4</v>
      </c>
      <c r="C20" s="34" t="s">
        <v>4</v>
      </c>
      <c r="D20" s="140" t="s">
        <v>66</v>
      </c>
      <c r="E20" s="144">
        <f>E21+E22</f>
        <v>260172538</v>
      </c>
      <c r="F20" s="144">
        <f>F21+F22</f>
        <v>364723076</v>
      </c>
      <c r="G20" s="288">
        <f aca="true" t="shared" si="3" ref="G20:G28">F20-E20</f>
        <v>104550538</v>
      </c>
      <c r="H20" s="126" t="s">
        <v>68</v>
      </c>
      <c r="I20" s="85"/>
      <c r="J20" s="57">
        <f t="shared" si="1"/>
        <v>104550538</v>
      </c>
      <c r="K20" s="48"/>
      <c r="M20" s="97">
        <v>160147</v>
      </c>
      <c r="N20" s="97">
        <v>1154603</v>
      </c>
    </row>
    <row r="21" spans="2:10" s="6" customFormat="1" ht="47.25" customHeight="1">
      <c r="B21" s="15"/>
      <c r="C21" s="15"/>
      <c r="D21" s="139" t="s">
        <v>69</v>
      </c>
      <c r="E21" s="148">
        <f>260021318</f>
        <v>260021318</v>
      </c>
      <c r="F21" s="148">
        <v>363408326</v>
      </c>
      <c r="G21" s="287">
        <f>F21-E21</f>
        <v>103387008</v>
      </c>
      <c r="H21" s="108"/>
      <c r="I21" s="85"/>
      <c r="J21" s="57">
        <f t="shared" si="1"/>
        <v>103387008</v>
      </c>
    </row>
    <row r="22" spans="2:15" s="6" customFormat="1" ht="45.75" customHeight="1" thickBot="1">
      <c r="B22" s="15"/>
      <c r="C22" s="15"/>
      <c r="D22" s="131" t="s">
        <v>70</v>
      </c>
      <c r="E22" s="145">
        <v>151220</v>
      </c>
      <c r="F22" s="145">
        <v>1314750</v>
      </c>
      <c r="G22" s="197">
        <f>F22-E22</f>
        <v>1163530</v>
      </c>
      <c r="H22" s="141"/>
      <c r="I22" s="85"/>
      <c r="J22" s="57">
        <f t="shared" si="1"/>
        <v>1163530</v>
      </c>
      <c r="O22" s="97"/>
    </row>
    <row r="23" spans="2:15" s="6" customFormat="1" ht="49.5" customHeight="1" thickBot="1">
      <c r="B23" s="34" t="s">
        <v>12</v>
      </c>
      <c r="C23" s="34" t="s">
        <v>12</v>
      </c>
      <c r="D23" s="140" t="s">
        <v>66</v>
      </c>
      <c r="E23" s="144">
        <f>E24+E25</f>
        <v>1373162</v>
      </c>
      <c r="F23" s="144">
        <f>F24+F25</f>
        <v>1600000</v>
      </c>
      <c r="G23" s="288">
        <f t="shared" si="3"/>
        <v>226838</v>
      </c>
      <c r="H23" s="126" t="s">
        <v>68</v>
      </c>
      <c r="I23" s="85"/>
      <c r="J23" s="57">
        <f t="shared" si="1"/>
        <v>226838</v>
      </c>
      <c r="K23" s="43"/>
      <c r="O23" s="97"/>
    </row>
    <row r="24" spans="2:15" s="6" customFormat="1" ht="42" customHeight="1">
      <c r="B24" s="15"/>
      <c r="C24" s="15"/>
      <c r="D24" s="16" t="s">
        <v>13</v>
      </c>
      <c r="E24" s="60">
        <f>892670+289223</f>
        <v>1181893</v>
      </c>
      <c r="F24" s="60">
        <v>1300000</v>
      </c>
      <c r="G24" s="287">
        <f t="shared" si="3"/>
        <v>118107</v>
      </c>
      <c r="H24" s="23" t="s">
        <v>138</v>
      </c>
      <c r="I24" s="85"/>
      <c r="J24" s="57">
        <f t="shared" si="1"/>
        <v>118107</v>
      </c>
      <c r="K24" s="43"/>
      <c r="O24" s="97"/>
    </row>
    <row r="25" spans="2:15" s="6" customFormat="1" ht="48.75" customHeight="1" thickBot="1">
      <c r="B25" s="101"/>
      <c r="C25" s="101"/>
      <c r="D25" s="149" t="s">
        <v>29</v>
      </c>
      <c r="E25" s="150">
        <f>480492-289223</f>
        <v>191269</v>
      </c>
      <c r="F25" s="150">
        <v>300000</v>
      </c>
      <c r="G25" s="266">
        <f>F25-E25</f>
        <v>108731</v>
      </c>
      <c r="H25" s="98" t="s">
        <v>139</v>
      </c>
      <c r="I25" s="88"/>
      <c r="J25" s="57">
        <f t="shared" si="1"/>
        <v>108731</v>
      </c>
      <c r="O25" s="43"/>
    </row>
    <row r="26" spans="2:15" s="6" customFormat="1" ht="51.75" customHeight="1" thickBot="1">
      <c r="B26" s="347" t="s">
        <v>105</v>
      </c>
      <c r="C26" s="349" t="s">
        <v>104</v>
      </c>
      <c r="D26" s="140" t="s">
        <v>66</v>
      </c>
      <c r="E26" s="144">
        <f>E27+E28</f>
        <v>76000000</v>
      </c>
      <c r="F26" s="144">
        <f>F27+F28</f>
        <v>0</v>
      </c>
      <c r="G26" s="255">
        <f t="shared" si="3"/>
        <v>-76000000</v>
      </c>
      <c r="H26" s="126" t="s">
        <v>68</v>
      </c>
      <c r="I26" s="88"/>
      <c r="J26" s="57">
        <f t="shared" si="1"/>
        <v>-76000000</v>
      </c>
      <c r="O26" s="43"/>
    </row>
    <row r="27" spans="2:15" s="6" customFormat="1" ht="51.75" customHeight="1">
      <c r="B27" s="348"/>
      <c r="C27" s="350"/>
      <c r="D27" s="37" t="s">
        <v>102</v>
      </c>
      <c r="E27" s="232">
        <v>73000000</v>
      </c>
      <c r="F27" s="232">
        <v>0</v>
      </c>
      <c r="G27" s="283">
        <f t="shared" si="3"/>
        <v>-73000000</v>
      </c>
      <c r="H27" s="264" t="s">
        <v>108</v>
      </c>
      <c r="I27" s="88"/>
      <c r="J27" s="57">
        <f t="shared" si="1"/>
        <v>-73000000</v>
      </c>
      <c r="O27" s="43"/>
    </row>
    <row r="28" spans="2:10" ht="36.75" customHeight="1" thickBot="1">
      <c r="B28" s="236"/>
      <c r="C28" s="233"/>
      <c r="D28" s="333" t="s">
        <v>103</v>
      </c>
      <c r="E28" s="234">
        <v>3000000</v>
      </c>
      <c r="F28" s="234">
        <v>0</v>
      </c>
      <c r="G28" s="284">
        <f t="shared" si="3"/>
        <v>-3000000</v>
      </c>
      <c r="H28" s="235" t="s">
        <v>109</v>
      </c>
      <c r="J28" s="57">
        <f t="shared" si="1"/>
        <v>-3000000</v>
      </c>
    </row>
    <row r="29" spans="7:9" ht="13.5">
      <c r="G29" s="61"/>
      <c r="H29" s="31"/>
      <c r="I29" s="31"/>
    </row>
    <row r="30" spans="6:7" ht="13.5">
      <c r="F30" s="58"/>
      <c r="G30" s="62"/>
    </row>
    <row r="31" spans="7:9" ht="13.5">
      <c r="G31" s="61"/>
      <c r="H31" s="31"/>
      <c r="I31" s="31"/>
    </row>
    <row r="32" ht="13.5">
      <c r="G32" s="62"/>
    </row>
    <row r="33" ht="13.5">
      <c r="G33" s="63"/>
    </row>
    <row r="34" ht="13.5">
      <c r="G34" s="61"/>
    </row>
    <row r="35" ht="13.5">
      <c r="G35" s="61"/>
    </row>
    <row r="36" spans="6:7" ht="13.5">
      <c r="F36" s="58"/>
      <c r="G36" s="61"/>
    </row>
    <row r="37" ht="13.5">
      <c r="G37" s="61"/>
    </row>
    <row r="38" ht="13.5">
      <c r="G38" s="61"/>
    </row>
    <row r="39" ht="13.5">
      <c r="G39" s="61"/>
    </row>
    <row r="40" ht="13.5">
      <c r="G40" s="61"/>
    </row>
    <row r="41" ht="13.5">
      <c r="G41" s="61"/>
    </row>
    <row r="42" ht="13.5">
      <c r="G42" s="61"/>
    </row>
    <row r="43" ht="13.5">
      <c r="G43" s="61"/>
    </row>
    <row r="44" ht="13.5">
      <c r="G44" s="61"/>
    </row>
    <row r="45" ht="13.5">
      <c r="G45" s="61"/>
    </row>
    <row r="46" ht="13.5">
      <c r="G46" s="61"/>
    </row>
    <row r="47" ht="13.5">
      <c r="G47" s="61"/>
    </row>
    <row r="48" ht="13.5">
      <c r="G48" s="61"/>
    </row>
    <row r="49" ht="13.5">
      <c r="G49" s="61"/>
    </row>
    <row r="50" ht="13.5">
      <c r="G50" s="61"/>
    </row>
    <row r="51" ht="13.5">
      <c r="G51" s="61"/>
    </row>
    <row r="52" ht="13.5">
      <c r="G52" s="61"/>
    </row>
    <row r="53" ht="13.5">
      <c r="G53" s="61"/>
    </row>
    <row r="54" ht="13.5">
      <c r="G54" s="61"/>
    </row>
    <row r="55" ht="13.5">
      <c r="G55" s="61"/>
    </row>
    <row r="56" ht="13.5">
      <c r="G56" s="61"/>
    </row>
    <row r="57" ht="13.5">
      <c r="G57" s="61"/>
    </row>
    <row r="58" ht="13.5">
      <c r="G58" s="61"/>
    </row>
    <row r="59" ht="13.5">
      <c r="G59" s="61"/>
    </row>
    <row r="60" ht="13.5">
      <c r="G60" s="61"/>
    </row>
    <row r="61" ht="13.5">
      <c r="G61" s="61"/>
    </row>
    <row r="107" ht="13.5">
      <c r="H107" t="s">
        <v>15</v>
      </c>
    </row>
  </sheetData>
  <sheetProtection/>
  <mergeCells count="9">
    <mergeCell ref="B26:B27"/>
    <mergeCell ref="C26:C27"/>
    <mergeCell ref="C7:C8"/>
    <mergeCell ref="E4:E5"/>
    <mergeCell ref="H4:H5"/>
    <mergeCell ref="G4:G5"/>
    <mergeCell ref="B4:D4"/>
    <mergeCell ref="B7:B8"/>
    <mergeCell ref="F4:F5"/>
  </mergeCells>
  <printOptions/>
  <pageMargins left="0" right="0" top="0.984251968503937" bottom="0.15748031496062992" header="0.31496062992125984" footer="0.31496062992125984"/>
  <pageSetup fitToWidth="0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U97"/>
  <sheetViews>
    <sheetView tabSelected="1" zoomScaleSheetLayoutView="100" zoomScalePageLayoutView="0" workbookViewId="0" topLeftCell="A67">
      <selection activeCell="F71" sqref="F71"/>
    </sheetView>
  </sheetViews>
  <sheetFormatPr defaultColWidth="8.88671875" defaultRowHeight="13.5"/>
  <cols>
    <col min="1" max="1" width="1.4375" style="0" customWidth="1"/>
    <col min="2" max="2" width="5.4453125" style="0" customWidth="1"/>
    <col min="3" max="3" width="5.6640625" style="0" customWidth="1"/>
    <col min="4" max="4" width="7.77734375" style="0" customWidth="1"/>
    <col min="5" max="5" width="12.5546875" style="0" hidden="1" customWidth="1"/>
    <col min="6" max="7" width="14.3359375" style="0" customWidth="1"/>
    <col min="8" max="8" width="14.77734375" style="0" customWidth="1"/>
    <col min="9" max="9" width="28.4453125" style="0" customWidth="1"/>
    <col min="10" max="10" width="20.77734375" style="66" customWidth="1"/>
    <col min="11" max="11" width="17.99609375" style="31" customWidth="1"/>
    <col min="12" max="12" width="12.6640625" style="0" bestFit="1" customWidth="1"/>
    <col min="13" max="13" width="10.5546875" style="0" bestFit="1" customWidth="1"/>
    <col min="14" max="14" width="9.88671875" style="0" bestFit="1" customWidth="1"/>
    <col min="17" max="17" width="9.5546875" style="0" bestFit="1" customWidth="1"/>
  </cols>
  <sheetData>
    <row r="2" spans="2:4" ht="22.5" customHeight="1">
      <c r="B2" s="147" t="s">
        <v>50</v>
      </c>
      <c r="C2" s="175"/>
      <c r="D2" s="175"/>
    </row>
    <row r="3" spans="1:9" ht="17.25" customHeight="1">
      <c r="A3" t="s">
        <v>57</v>
      </c>
      <c r="B3" s="22"/>
      <c r="C3" s="22"/>
      <c r="D3" s="38"/>
      <c r="E3" s="22"/>
      <c r="F3" s="22"/>
      <c r="G3" s="22"/>
      <c r="H3" s="22"/>
      <c r="I3" s="46" t="s">
        <v>5</v>
      </c>
    </row>
    <row r="4" spans="2:9" ht="18.75" customHeight="1" thickBot="1">
      <c r="B4" s="22"/>
      <c r="C4" s="22"/>
      <c r="D4" s="38"/>
      <c r="E4" s="22"/>
      <c r="F4" s="22"/>
      <c r="G4" s="22"/>
      <c r="H4" s="22"/>
      <c r="I4" s="46"/>
    </row>
    <row r="5" spans="2:9" ht="16.5" customHeight="1" thickBot="1">
      <c r="B5" s="12"/>
      <c r="C5" s="9" t="s">
        <v>6</v>
      </c>
      <c r="D5" s="79"/>
      <c r="E5" s="353" t="s">
        <v>16</v>
      </c>
      <c r="F5" s="353" t="s">
        <v>111</v>
      </c>
      <c r="G5" s="353" t="s">
        <v>112</v>
      </c>
      <c r="H5" s="388" t="s">
        <v>2</v>
      </c>
      <c r="I5" s="355" t="s">
        <v>7</v>
      </c>
    </row>
    <row r="6" spans="2:9" ht="23.25" customHeight="1" thickBot="1">
      <c r="B6" s="25" t="s">
        <v>8</v>
      </c>
      <c r="C6" s="25" t="s">
        <v>9</v>
      </c>
      <c r="D6" s="26" t="s">
        <v>10</v>
      </c>
      <c r="E6" s="354"/>
      <c r="F6" s="354"/>
      <c r="G6" s="354"/>
      <c r="H6" s="389"/>
      <c r="I6" s="356"/>
    </row>
    <row r="7" spans="2:10" ht="36.75" customHeight="1" thickBot="1">
      <c r="B7" s="25"/>
      <c r="C7" s="25"/>
      <c r="D7" s="83" t="s">
        <v>14</v>
      </c>
      <c r="E7" s="33" t="e">
        <f>E8+E36+E40+E54+#REF!+E56+E66+E68</f>
        <v>#REF!</v>
      </c>
      <c r="F7" s="33">
        <f>F8+F36+F40+F54+F56+F66+F68</f>
        <v>1454975915</v>
      </c>
      <c r="G7" s="33">
        <f>G8+G36+G40+G54+G56+G66+G68</f>
        <v>1567070276</v>
      </c>
      <c r="H7" s="279">
        <f>G7-F7</f>
        <v>112094361</v>
      </c>
      <c r="I7" s="122"/>
      <c r="J7" s="67">
        <f>G7-F7</f>
        <v>112094361</v>
      </c>
    </row>
    <row r="8" spans="2:10" ht="32.25" customHeight="1" thickBot="1">
      <c r="B8" s="362" t="s">
        <v>83</v>
      </c>
      <c r="C8" s="362" t="s">
        <v>84</v>
      </c>
      <c r="D8" s="83" t="s">
        <v>11</v>
      </c>
      <c r="E8" s="27" t="e">
        <f>#REF!+#REF!+#REF!+#REF!+#REF!+#REF!+#REF!+#REF!</f>
        <v>#REF!</v>
      </c>
      <c r="F8" s="33">
        <f>F9+F16+F21+F25+F27</f>
        <v>1002561820</v>
      </c>
      <c r="G8" s="33">
        <f>G9+G16+G21+G25+G27</f>
        <v>1078390670</v>
      </c>
      <c r="H8" s="279">
        <f>G8-F8</f>
        <v>75828850</v>
      </c>
      <c r="I8" s="122"/>
      <c r="J8" s="67">
        <f>G8-F8</f>
        <v>75828850</v>
      </c>
    </row>
    <row r="9" spans="2:14" ht="32.25" customHeight="1">
      <c r="B9" s="363"/>
      <c r="C9" s="363"/>
      <c r="D9" s="15" t="s">
        <v>85</v>
      </c>
      <c r="E9" s="78"/>
      <c r="F9" s="166">
        <f>37003000+35449000+26432000+26432000+45360000+24600000+22920000+574123590+1133000+1704960</f>
        <v>795157550</v>
      </c>
      <c r="G9" s="166">
        <f>39664800+37730400+30897600+28328400+48000000+50160000+600000000+11325600</f>
        <v>846106800</v>
      </c>
      <c r="H9" s="280">
        <f>G9-F9</f>
        <v>50949250</v>
      </c>
      <c r="I9" s="11" t="s">
        <v>124</v>
      </c>
      <c r="J9" s="67">
        <f>G9-F9</f>
        <v>50949250</v>
      </c>
      <c r="K9" s="104"/>
      <c r="L9" s="31"/>
      <c r="N9" s="31"/>
    </row>
    <row r="10" spans="2:11" ht="26.25" customHeight="1">
      <c r="B10" s="363"/>
      <c r="C10" s="363"/>
      <c r="D10" s="15"/>
      <c r="E10" s="78"/>
      <c r="F10" s="201"/>
      <c r="G10" s="202"/>
      <c r="H10" s="203"/>
      <c r="I10" s="11" t="s">
        <v>123</v>
      </c>
      <c r="J10" s="67"/>
      <c r="K10" s="104"/>
    </row>
    <row r="11" spans="2:15" s="1" customFormat="1" ht="39.75" customHeight="1">
      <c r="B11" s="363"/>
      <c r="C11" s="363"/>
      <c r="D11" s="15"/>
      <c r="E11" s="24"/>
      <c r="F11" s="32"/>
      <c r="G11" s="89"/>
      <c r="H11" s="197"/>
      <c r="I11" s="11" t="s">
        <v>122</v>
      </c>
      <c r="J11" s="68"/>
      <c r="K11" s="36"/>
      <c r="O11" s="129"/>
    </row>
    <row r="12" spans="2:15" s="1" customFormat="1" ht="30.75" customHeight="1">
      <c r="B12" s="363"/>
      <c r="C12" s="363"/>
      <c r="D12" s="15"/>
      <c r="E12" s="24"/>
      <c r="F12" s="32"/>
      <c r="G12" s="89"/>
      <c r="H12" s="197"/>
      <c r="I12" s="11" t="s">
        <v>157</v>
      </c>
      <c r="J12" s="68"/>
      <c r="K12" s="36"/>
      <c r="O12" s="129"/>
    </row>
    <row r="13" spans="2:11" s="1" customFormat="1" ht="42.75" customHeight="1">
      <c r="B13" s="363"/>
      <c r="C13" s="363"/>
      <c r="D13" s="15"/>
      <c r="E13" s="24"/>
      <c r="F13" s="32"/>
      <c r="G13" s="89"/>
      <c r="H13" s="197"/>
      <c r="I13" s="11" t="s">
        <v>158</v>
      </c>
      <c r="J13" s="68"/>
      <c r="K13" s="36"/>
    </row>
    <row r="14" spans="2:11" s="1" customFormat="1" ht="64.5" customHeight="1">
      <c r="B14" s="363"/>
      <c r="C14" s="363"/>
      <c r="D14" s="15"/>
      <c r="E14" s="24"/>
      <c r="F14" s="32"/>
      <c r="G14" s="89"/>
      <c r="H14" s="197"/>
      <c r="I14" s="206" t="s">
        <v>125</v>
      </c>
      <c r="J14" s="92"/>
      <c r="K14" s="36"/>
    </row>
    <row r="15" spans="2:11" s="1" customFormat="1" ht="64.5" customHeight="1">
      <c r="B15" s="363"/>
      <c r="C15" s="363"/>
      <c r="D15" s="15"/>
      <c r="E15" s="24"/>
      <c r="F15" s="32"/>
      <c r="G15" s="89"/>
      <c r="H15" s="197"/>
      <c r="I15" s="206" t="s">
        <v>166</v>
      </c>
      <c r="J15" s="92"/>
      <c r="K15" s="36"/>
    </row>
    <row r="16" spans="2:13" s="1" customFormat="1" ht="26.25" customHeight="1">
      <c r="B16" s="363"/>
      <c r="C16" s="363"/>
      <c r="D16" s="114" t="s">
        <v>76</v>
      </c>
      <c r="E16" s="118"/>
      <c r="F16" s="121">
        <f>27470000+480000+21887320+16917720+9400000+2365140</f>
        <v>78520180</v>
      </c>
      <c r="G16" s="121">
        <f>29660000+480000+19262120+20340000+12000000+2000000</f>
        <v>83742120</v>
      </c>
      <c r="H16" s="298">
        <f>G16-F16</f>
        <v>5221940</v>
      </c>
      <c r="I16" s="240" t="s">
        <v>126</v>
      </c>
      <c r="J16" s="92">
        <f>G16-F16</f>
        <v>5221940</v>
      </c>
      <c r="K16" s="36"/>
      <c r="M16" s="36"/>
    </row>
    <row r="17" spans="2:11" s="1" customFormat="1" ht="201.75" customHeight="1">
      <c r="B17" s="363"/>
      <c r="C17" s="363"/>
      <c r="D17" s="20"/>
      <c r="E17" s="119"/>
      <c r="F17" s="89"/>
      <c r="G17" s="89"/>
      <c r="H17" s="207"/>
      <c r="I17" s="239" t="s">
        <v>135</v>
      </c>
      <c r="J17" s="92"/>
      <c r="K17" s="36"/>
    </row>
    <row r="18" spans="2:21" s="1" customFormat="1" ht="40.5" customHeight="1">
      <c r="B18" s="363"/>
      <c r="C18" s="363"/>
      <c r="D18" s="15"/>
      <c r="E18" s="24"/>
      <c r="F18" s="107"/>
      <c r="G18" s="89"/>
      <c r="H18" s="197"/>
      <c r="I18" s="314" t="s">
        <v>94</v>
      </c>
      <c r="J18" s="92"/>
      <c r="K18" s="36"/>
      <c r="O18" s="129"/>
      <c r="P18" s="129"/>
      <c r="Q18" s="36"/>
      <c r="R18" s="36"/>
      <c r="S18" s="36"/>
      <c r="T18" s="36"/>
      <c r="U18" s="36"/>
    </row>
    <row r="19" spans="2:21" s="1" customFormat="1" ht="69.75" customHeight="1" thickBot="1">
      <c r="B19" s="364"/>
      <c r="C19" s="364"/>
      <c r="D19" s="325"/>
      <c r="E19" s="127"/>
      <c r="F19" s="120"/>
      <c r="G19" s="128"/>
      <c r="H19" s="198"/>
      <c r="I19" s="326" t="s">
        <v>151</v>
      </c>
      <c r="J19" s="92"/>
      <c r="O19" s="129"/>
      <c r="P19" s="129"/>
      <c r="Q19" s="36"/>
      <c r="R19" s="36"/>
      <c r="S19" s="36"/>
      <c r="T19" s="36"/>
      <c r="U19" s="36"/>
    </row>
    <row r="20" spans="2:21" s="1" customFormat="1" ht="80.25" customHeight="1" thickBot="1">
      <c r="B20" s="368" t="s">
        <v>110</v>
      </c>
      <c r="C20" s="362" t="s">
        <v>148</v>
      </c>
      <c r="D20" s="365" t="s">
        <v>75</v>
      </c>
      <c r="E20" s="315"/>
      <c r="F20" s="247"/>
      <c r="G20" s="248"/>
      <c r="H20" s="249"/>
      <c r="I20" s="250" t="s">
        <v>152</v>
      </c>
      <c r="J20" s="92"/>
      <c r="O20" s="129"/>
      <c r="P20" s="129"/>
      <c r="Q20" s="36"/>
      <c r="R20" s="36"/>
      <c r="S20" s="36"/>
      <c r="T20" s="36"/>
      <c r="U20" s="36"/>
    </row>
    <row r="21" spans="2:21" s="1" customFormat="1" ht="68.25" customHeight="1">
      <c r="B21" s="369"/>
      <c r="C21" s="363"/>
      <c r="D21" s="366"/>
      <c r="E21" s="209"/>
      <c r="F21" s="89"/>
      <c r="G21" s="89"/>
      <c r="H21" s="89"/>
      <c r="I21" s="239" t="s">
        <v>149</v>
      </c>
      <c r="J21" s="164"/>
      <c r="K21" s="36"/>
      <c r="O21" s="129"/>
      <c r="P21" s="129"/>
      <c r="Q21" s="36"/>
      <c r="R21" s="36"/>
      <c r="S21" s="36"/>
      <c r="T21" s="36"/>
      <c r="U21" s="36"/>
    </row>
    <row r="22" spans="2:21" s="1" customFormat="1" ht="42.75" customHeight="1">
      <c r="B22" s="369"/>
      <c r="C22" s="363"/>
      <c r="D22" s="366"/>
      <c r="E22" s="106"/>
      <c r="F22" s="89"/>
      <c r="G22" s="89"/>
      <c r="H22" s="89"/>
      <c r="I22" s="10" t="s">
        <v>150</v>
      </c>
      <c r="J22" s="68"/>
      <c r="K22" s="36"/>
      <c r="O22" s="129"/>
      <c r="P22" s="129"/>
      <c r="Q22" s="36"/>
      <c r="R22" s="36"/>
      <c r="S22" s="36"/>
      <c r="T22" s="36"/>
      <c r="U22" s="36"/>
    </row>
    <row r="23" spans="2:17" s="1" customFormat="1" ht="39.75" customHeight="1">
      <c r="B23" s="369"/>
      <c r="C23" s="363"/>
      <c r="D23" s="366"/>
      <c r="E23" s="157"/>
      <c r="F23" s="158"/>
      <c r="G23" s="159"/>
      <c r="H23" s="107"/>
      <c r="I23" s="160" t="s">
        <v>127</v>
      </c>
      <c r="J23" s="161" t="s">
        <v>73</v>
      </c>
      <c r="K23" s="36"/>
      <c r="Q23" s="36"/>
    </row>
    <row r="24" spans="2:17" s="1" customFormat="1" ht="30.75" customHeight="1">
      <c r="B24" s="369"/>
      <c r="C24" s="363"/>
      <c r="D24" s="367"/>
      <c r="E24" s="157"/>
      <c r="F24" s="158"/>
      <c r="G24" s="159"/>
      <c r="H24" s="107"/>
      <c r="I24" s="177" t="s">
        <v>114</v>
      </c>
      <c r="J24" s="161"/>
      <c r="K24" s="36"/>
      <c r="L24" s="36"/>
      <c r="Q24" s="36"/>
    </row>
    <row r="25" spans="2:12" s="1" customFormat="1" ht="33" customHeight="1">
      <c r="B25" s="369"/>
      <c r="C25" s="363"/>
      <c r="D25" s="386" t="s">
        <v>106</v>
      </c>
      <c r="E25" s="162">
        <v>4411040</v>
      </c>
      <c r="F25" s="390">
        <f>21146010+43257120</f>
        <v>64403130</v>
      </c>
      <c r="G25" s="390">
        <f>23748610+53738800</f>
        <v>77487410</v>
      </c>
      <c r="H25" s="393">
        <f>G25-F25</f>
        <v>13084280</v>
      </c>
      <c r="I25" s="169" t="s">
        <v>128</v>
      </c>
      <c r="J25" s="163">
        <f>G25-F25</f>
        <v>13084280</v>
      </c>
      <c r="K25" s="36"/>
      <c r="L25" s="36"/>
    </row>
    <row r="26" spans="2:12" s="1" customFormat="1" ht="30.75" customHeight="1">
      <c r="B26" s="369"/>
      <c r="C26" s="363"/>
      <c r="D26" s="387"/>
      <c r="E26" s="106"/>
      <c r="F26" s="383"/>
      <c r="G26" s="383"/>
      <c r="H26" s="385"/>
      <c r="I26" s="170" t="s">
        <v>167</v>
      </c>
      <c r="J26" s="68"/>
      <c r="K26" s="36"/>
      <c r="L26" s="36"/>
    </row>
    <row r="27" spans="2:12" s="1" customFormat="1" ht="27.75" customHeight="1">
      <c r="B27" s="369"/>
      <c r="C27" s="363"/>
      <c r="D27" s="379" t="s">
        <v>59</v>
      </c>
      <c r="E27" s="3">
        <v>1862650</v>
      </c>
      <c r="F27" s="121">
        <f>30197750+3705260+17622880+8061090+4893980</f>
        <v>64480960</v>
      </c>
      <c r="G27" s="121">
        <f>31469280+4031210+19637240+10208650+5707960</f>
        <v>71054340</v>
      </c>
      <c r="H27" s="271">
        <f>G27-F27</f>
        <v>6573380</v>
      </c>
      <c r="I27" s="17" t="s">
        <v>129</v>
      </c>
      <c r="J27" s="68"/>
      <c r="K27" s="36"/>
      <c r="L27" s="36"/>
    </row>
    <row r="28" spans="2:12" s="1" customFormat="1" ht="27" customHeight="1">
      <c r="B28" s="369"/>
      <c r="C28" s="363"/>
      <c r="D28" s="348"/>
      <c r="E28" s="3"/>
      <c r="F28" s="3"/>
      <c r="G28" s="3"/>
      <c r="H28" s="197"/>
      <c r="I28" s="206" t="s">
        <v>168</v>
      </c>
      <c r="J28" s="68"/>
      <c r="K28" s="36"/>
      <c r="L28" s="36"/>
    </row>
    <row r="29" spans="2:12" s="1" customFormat="1" ht="21.75" customHeight="1">
      <c r="B29" s="369"/>
      <c r="C29" s="363"/>
      <c r="D29" s="105"/>
      <c r="E29" s="3"/>
      <c r="F29" s="3"/>
      <c r="G29" s="3"/>
      <c r="H29" s="197"/>
      <c r="I29" s="268" t="s">
        <v>130</v>
      </c>
      <c r="J29" s="68"/>
      <c r="K29" s="36"/>
      <c r="L29" s="36"/>
    </row>
    <row r="30" spans="2:12" s="1" customFormat="1" ht="21" customHeight="1">
      <c r="B30" s="369"/>
      <c r="C30" s="363"/>
      <c r="D30" s="20"/>
      <c r="E30" s="3"/>
      <c r="F30" s="3"/>
      <c r="G30" s="3"/>
      <c r="H30" s="197"/>
      <c r="I30" s="206" t="s">
        <v>169</v>
      </c>
      <c r="J30" s="68"/>
      <c r="K30" s="36"/>
      <c r="L30" s="36"/>
    </row>
    <row r="31" spans="2:12" s="1" customFormat="1" ht="22.5" customHeight="1">
      <c r="B31" s="369"/>
      <c r="C31" s="363"/>
      <c r="D31" s="19"/>
      <c r="E31" s="3">
        <f>3409960+538530+492370</f>
        <v>4440860</v>
      </c>
      <c r="F31" s="3"/>
      <c r="G31" s="3"/>
      <c r="H31" s="197"/>
      <c r="I31" s="17" t="s">
        <v>131</v>
      </c>
      <c r="J31" s="68"/>
      <c r="K31" s="36"/>
      <c r="L31" s="36"/>
    </row>
    <row r="32" spans="2:11" s="1" customFormat="1" ht="23.25" customHeight="1">
      <c r="B32" s="369"/>
      <c r="C32" s="363"/>
      <c r="D32" s="44"/>
      <c r="E32" s="5"/>
      <c r="F32" s="90"/>
      <c r="G32" s="90"/>
      <c r="H32" s="197"/>
      <c r="I32" s="206" t="s">
        <v>170</v>
      </c>
      <c r="J32" s="68"/>
      <c r="K32" s="36"/>
    </row>
    <row r="33" spans="2:11" s="1" customFormat="1" ht="21.75" customHeight="1">
      <c r="B33" s="369"/>
      <c r="C33" s="363"/>
      <c r="D33" s="44"/>
      <c r="E33" s="5"/>
      <c r="F33" s="90"/>
      <c r="G33" s="90"/>
      <c r="H33" s="197"/>
      <c r="I33" s="268" t="s">
        <v>132</v>
      </c>
      <c r="J33" s="111"/>
      <c r="K33" s="36"/>
    </row>
    <row r="34" spans="2:10" s="1" customFormat="1" ht="29.25" customHeight="1">
      <c r="B34" s="369"/>
      <c r="C34" s="363"/>
      <c r="D34" s="19"/>
      <c r="E34" s="5"/>
      <c r="F34" s="90"/>
      <c r="G34" s="90"/>
      <c r="H34" s="197"/>
      <c r="I34" s="10" t="s">
        <v>171</v>
      </c>
      <c r="J34" s="36"/>
    </row>
    <row r="35" spans="2:11" s="1" customFormat="1" ht="44.25" customHeight="1" thickBot="1">
      <c r="B35" s="369"/>
      <c r="C35" s="364"/>
      <c r="D35" s="101"/>
      <c r="E35" s="251"/>
      <c r="F35" s="252"/>
      <c r="G35" s="252"/>
      <c r="H35" s="198"/>
      <c r="I35" s="269" t="s">
        <v>172</v>
      </c>
      <c r="J35" s="95"/>
      <c r="K35" s="36"/>
    </row>
    <row r="36" spans="2:11" s="1" customFormat="1" ht="30.75" customHeight="1" thickBot="1">
      <c r="B36" s="369"/>
      <c r="C36" s="362" t="s">
        <v>77</v>
      </c>
      <c r="D36" s="241" t="s">
        <v>11</v>
      </c>
      <c r="E36" s="242" t="e">
        <f>E37+#REF!+E39</f>
        <v>#REF!</v>
      </c>
      <c r="F36" s="243">
        <f>F37+F39+F38</f>
        <v>3247420</v>
      </c>
      <c r="G36" s="243">
        <f>G37+G38+G39</f>
        <v>4900000</v>
      </c>
      <c r="H36" s="303">
        <f aca="true" t="shared" si="0" ref="H36:H42">G36-F36</f>
        <v>1652580</v>
      </c>
      <c r="I36" s="123"/>
      <c r="J36" s="67">
        <f aca="true" t="shared" si="1" ref="J36:J47">G36-F36</f>
        <v>1652580</v>
      </c>
      <c r="K36" s="36"/>
    </row>
    <row r="37" spans="2:11" s="1" customFormat="1" ht="99" customHeight="1" thickBot="1">
      <c r="B37" s="369"/>
      <c r="C37" s="363"/>
      <c r="D37" s="137" t="s">
        <v>17</v>
      </c>
      <c r="E37" s="109">
        <f>350000+200000</f>
        <v>550000</v>
      </c>
      <c r="F37" s="274">
        <f>12420+1400000+50000</f>
        <v>1462420</v>
      </c>
      <c r="G37" s="274">
        <v>2500000</v>
      </c>
      <c r="H37" s="293">
        <f t="shared" si="0"/>
        <v>1037580</v>
      </c>
      <c r="I37" s="313" t="s">
        <v>159</v>
      </c>
      <c r="J37" s="68">
        <f t="shared" si="1"/>
        <v>1037580</v>
      </c>
      <c r="K37" s="36"/>
    </row>
    <row r="38" spans="2:11" s="1" customFormat="1" ht="48" customHeight="1">
      <c r="B38" s="369"/>
      <c r="C38" s="363"/>
      <c r="D38" s="37" t="s">
        <v>52</v>
      </c>
      <c r="E38" s="103"/>
      <c r="F38" s="213">
        <f>1200000</f>
        <v>1200000</v>
      </c>
      <c r="G38" s="213">
        <v>1600000</v>
      </c>
      <c r="H38" s="295">
        <f t="shared" si="0"/>
        <v>400000</v>
      </c>
      <c r="I38" s="294" t="s">
        <v>145</v>
      </c>
      <c r="J38" s="68">
        <f t="shared" si="1"/>
        <v>400000</v>
      </c>
      <c r="K38" s="36"/>
    </row>
    <row r="39" spans="2:11" s="1" customFormat="1" ht="50.25" customHeight="1" thickBot="1">
      <c r="B39" s="370"/>
      <c r="C39" s="364"/>
      <c r="D39" s="71" t="s">
        <v>18</v>
      </c>
      <c r="E39" s="45">
        <f>400000+200000</f>
        <v>600000</v>
      </c>
      <c r="F39" s="168">
        <f>585000</f>
        <v>585000</v>
      </c>
      <c r="G39" s="168">
        <v>800000</v>
      </c>
      <c r="H39" s="324">
        <f t="shared" si="0"/>
        <v>215000</v>
      </c>
      <c r="I39" s="98" t="s">
        <v>146</v>
      </c>
      <c r="J39" s="68">
        <f t="shared" si="1"/>
        <v>215000</v>
      </c>
      <c r="K39" s="36"/>
    </row>
    <row r="40" spans="2:11" s="1" customFormat="1" ht="33.75" customHeight="1" thickBot="1">
      <c r="B40" s="371" t="s">
        <v>110</v>
      </c>
      <c r="C40" s="362" t="s">
        <v>88</v>
      </c>
      <c r="D40" s="55" t="s">
        <v>11</v>
      </c>
      <c r="E40" s="65" t="e">
        <f>E41+E42+E44+E45+E46++#REF!</f>
        <v>#REF!</v>
      </c>
      <c r="F40" s="82">
        <f>F41+F42+F44+F46+F47</f>
        <v>52797067</v>
      </c>
      <c r="G40" s="82">
        <f>G41+G42+G44+G46+G47</f>
        <v>83400000</v>
      </c>
      <c r="H40" s="151">
        <f t="shared" si="0"/>
        <v>30602933</v>
      </c>
      <c r="I40" s="123"/>
      <c r="J40" s="67">
        <f t="shared" si="1"/>
        <v>30602933</v>
      </c>
      <c r="K40" s="36"/>
    </row>
    <row r="41" spans="2:11" s="1" customFormat="1" ht="45" customHeight="1">
      <c r="B41" s="372"/>
      <c r="C41" s="363"/>
      <c r="D41" s="212" t="s">
        <v>19</v>
      </c>
      <c r="E41" s="213">
        <f>4000000+1000000</f>
        <v>5000000</v>
      </c>
      <c r="F41" s="213">
        <f>80000+1118690</f>
        <v>1198690</v>
      </c>
      <c r="G41" s="4">
        <f>1000000+1000000</f>
        <v>2000000</v>
      </c>
      <c r="H41" s="292">
        <f t="shared" si="0"/>
        <v>801310</v>
      </c>
      <c r="I41" s="272" t="s">
        <v>115</v>
      </c>
      <c r="J41" s="68">
        <f t="shared" si="1"/>
        <v>801310</v>
      </c>
      <c r="K41" s="36">
        <f>400000+5000000+1500000</f>
        <v>6900000</v>
      </c>
    </row>
    <row r="42" spans="2:13" s="1" customFormat="1" ht="68.25" customHeight="1">
      <c r="B42" s="372"/>
      <c r="C42" s="363"/>
      <c r="D42" s="374" t="s">
        <v>20</v>
      </c>
      <c r="E42" s="317">
        <v>2300000</v>
      </c>
      <c r="F42" s="390">
        <f>1785020+375400+450000+1634040+1800000+400000+674800</f>
        <v>7119260</v>
      </c>
      <c r="G42" s="390">
        <f>2000000+600000+1300000+2500000+1800000+800000+1000000+1000000</f>
        <v>11000000</v>
      </c>
      <c r="H42" s="391">
        <f t="shared" si="0"/>
        <v>3880740</v>
      </c>
      <c r="I42" s="318" t="s">
        <v>154</v>
      </c>
      <c r="J42" s="68">
        <f t="shared" si="1"/>
        <v>3880740</v>
      </c>
      <c r="K42" s="36">
        <f>3500000+300000+900000+3000000</f>
        <v>7700000</v>
      </c>
      <c r="M42" s="1" t="s">
        <v>64</v>
      </c>
    </row>
    <row r="43" spans="2:11" s="1" customFormat="1" ht="58.5" customHeight="1">
      <c r="B43" s="372"/>
      <c r="C43" s="363"/>
      <c r="D43" s="375"/>
      <c r="E43" s="176"/>
      <c r="F43" s="383"/>
      <c r="G43" s="383"/>
      <c r="H43" s="392"/>
      <c r="I43" s="319" t="s">
        <v>153</v>
      </c>
      <c r="J43" s="68"/>
      <c r="K43" s="36"/>
    </row>
    <row r="44" spans="2:11" s="1" customFormat="1" ht="47.25" customHeight="1">
      <c r="B44" s="372"/>
      <c r="C44" s="363"/>
      <c r="D44" s="380" t="s">
        <v>60</v>
      </c>
      <c r="E44" s="3">
        <v>1500000</v>
      </c>
      <c r="F44" s="382">
        <f>674800-9370+4283600+423140+190730+92920+800000+7680+128000-30</f>
        <v>6591470</v>
      </c>
      <c r="G44" s="382">
        <f>800000+7000000+500000+500000+200000+800000+30000+3200000+1070000</f>
        <v>14100000</v>
      </c>
      <c r="H44" s="384">
        <f>G44-F44</f>
        <v>7508530</v>
      </c>
      <c r="I44" s="108" t="s">
        <v>116</v>
      </c>
      <c r="J44" s="68">
        <f t="shared" si="1"/>
        <v>7508530</v>
      </c>
      <c r="K44" s="36">
        <f>664570+203540</f>
        <v>868110</v>
      </c>
    </row>
    <row r="45" spans="2:11" s="1" customFormat="1" ht="82.5" customHeight="1">
      <c r="B45" s="372"/>
      <c r="C45" s="363"/>
      <c r="D45" s="381"/>
      <c r="E45" s="4">
        <f>2000000</f>
        <v>2000000</v>
      </c>
      <c r="F45" s="383"/>
      <c r="G45" s="383"/>
      <c r="H45" s="385"/>
      <c r="I45" s="273" t="s">
        <v>141</v>
      </c>
      <c r="J45" s="68">
        <f t="shared" si="1"/>
        <v>0</v>
      </c>
      <c r="K45" s="36">
        <f>30000+3500000+900000+250000+200000</f>
        <v>4880000</v>
      </c>
    </row>
    <row r="46" spans="2:11" s="1" customFormat="1" ht="67.5" customHeight="1">
      <c r="B46" s="372"/>
      <c r="C46" s="363"/>
      <c r="D46" s="21" t="s">
        <v>21</v>
      </c>
      <c r="E46" s="4">
        <v>2500000</v>
      </c>
      <c r="F46" s="91">
        <f>9733867+3822600</f>
        <v>13556467</v>
      </c>
      <c r="G46" s="91">
        <f>10800000+5000000+30000+470000</f>
        <v>16300000</v>
      </c>
      <c r="H46" s="281">
        <f>G46-F46</f>
        <v>2743533</v>
      </c>
      <c r="I46" s="23" t="s">
        <v>180</v>
      </c>
      <c r="J46" s="68">
        <f t="shared" si="1"/>
        <v>2743533</v>
      </c>
      <c r="K46" s="36">
        <f>7000000+2000000+100000</f>
        <v>9100000</v>
      </c>
    </row>
    <row r="47" spans="2:11" s="1" customFormat="1" ht="37.5" customHeight="1">
      <c r="B47" s="372"/>
      <c r="C47" s="363"/>
      <c r="D47" s="114" t="s">
        <v>51</v>
      </c>
      <c r="E47" s="106"/>
      <c r="F47" s="113">
        <f>1811180+800000+1230000+3600000+400000+1250000+1140000+2400000+2400000+2400000+6600000+300000</f>
        <v>24331180</v>
      </c>
      <c r="G47" s="113">
        <f>2800000+800000+1500000+2400000+2400000+9600000+5000000+15000000+500000</f>
        <v>40000000</v>
      </c>
      <c r="H47" s="281">
        <f>G47-F47</f>
        <v>15668820</v>
      </c>
      <c r="I47" s="112" t="s">
        <v>147</v>
      </c>
      <c r="J47" s="68">
        <f t="shared" si="1"/>
        <v>15668820</v>
      </c>
      <c r="K47" s="36"/>
    </row>
    <row r="48" spans="2:11" s="1" customFormat="1" ht="52.5" customHeight="1">
      <c r="B48" s="372"/>
      <c r="C48" s="363"/>
      <c r="D48" s="20"/>
      <c r="E48" s="106"/>
      <c r="F48" s="113"/>
      <c r="G48" s="113"/>
      <c r="H48" s="197"/>
      <c r="I48" s="112" t="s">
        <v>181</v>
      </c>
      <c r="J48" s="68"/>
      <c r="K48" s="36"/>
    </row>
    <row r="49" spans="2:13" s="1" customFormat="1" ht="61.5" customHeight="1">
      <c r="B49" s="372"/>
      <c r="C49" s="363"/>
      <c r="D49" s="20"/>
      <c r="E49" s="106"/>
      <c r="F49" s="113"/>
      <c r="G49" s="113"/>
      <c r="H49" s="208"/>
      <c r="I49" s="112" t="s">
        <v>183</v>
      </c>
      <c r="J49" s="68"/>
      <c r="K49" s="36"/>
      <c r="L49" s="129">
        <v>100000</v>
      </c>
      <c r="M49" s="1">
        <v>4</v>
      </c>
    </row>
    <row r="50" spans="2:11" s="1" customFormat="1" ht="45" customHeight="1">
      <c r="B50" s="372"/>
      <c r="C50" s="363"/>
      <c r="D50" s="20"/>
      <c r="E50" s="106"/>
      <c r="F50" s="113"/>
      <c r="G50" s="113"/>
      <c r="H50" s="208"/>
      <c r="I50" s="112" t="s">
        <v>160</v>
      </c>
      <c r="J50" s="68"/>
      <c r="K50" s="36"/>
    </row>
    <row r="51" spans="2:11" s="1" customFormat="1" ht="31.5" customHeight="1">
      <c r="B51" s="372"/>
      <c r="C51" s="363"/>
      <c r="D51" s="20"/>
      <c r="E51" s="106"/>
      <c r="F51" s="113"/>
      <c r="G51" s="113"/>
      <c r="H51" s="208"/>
      <c r="I51" s="112" t="s">
        <v>182</v>
      </c>
      <c r="J51" s="68"/>
      <c r="K51" s="36"/>
    </row>
    <row r="52" spans="2:18" s="1" customFormat="1" ht="32.25" customHeight="1">
      <c r="B52" s="372"/>
      <c r="C52" s="363"/>
      <c r="D52" s="20"/>
      <c r="E52" s="106"/>
      <c r="F52" s="113"/>
      <c r="G52" s="113"/>
      <c r="H52" s="208"/>
      <c r="I52" s="112" t="s">
        <v>179</v>
      </c>
      <c r="J52" s="68"/>
      <c r="K52" s="36"/>
      <c r="L52" s="129">
        <v>4000000</v>
      </c>
      <c r="M52" s="129">
        <v>300000</v>
      </c>
      <c r="N52" s="1">
        <v>36</v>
      </c>
      <c r="O52" s="36">
        <f>M52*N52</f>
        <v>10800000</v>
      </c>
      <c r="Q52" s="36">
        <f>L52+O52</f>
        <v>14800000</v>
      </c>
      <c r="R52" s="36">
        <f>Q52/40</f>
        <v>370000</v>
      </c>
    </row>
    <row r="53" spans="2:18" s="1" customFormat="1" ht="21.75" customHeight="1" thickBot="1">
      <c r="B53" s="373"/>
      <c r="C53" s="364"/>
      <c r="D53" s="130"/>
      <c r="E53" s="244"/>
      <c r="F53" s="245"/>
      <c r="G53" s="245"/>
      <c r="H53" s="246"/>
      <c r="I53" s="316" t="s">
        <v>117</v>
      </c>
      <c r="J53" s="68"/>
      <c r="K53" s="36"/>
      <c r="Q53" s="129">
        <v>15000000</v>
      </c>
      <c r="R53" s="36">
        <f>Q53/40</f>
        <v>375000</v>
      </c>
    </row>
    <row r="54" spans="2:11" s="1" customFormat="1" ht="39" customHeight="1" thickBot="1">
      <c r="B54" s="362" t="s">
        <v>86</v>
      </c>
      <c r="C54" s="362" t="s">
        <v>87</v>
      </c>
      <c r="D54" s="18" t="s">
        <v>11</v>
      </c>
      <c r="E54" s="7" t="e">
        <f>#REF!+E55+#REF!</f>
        <v>#REF!</v>
      </c>
      <c r="F54" s="82">
        <f>F55</f>
        <v>9020000</v>
      </c>
      <c r="G54" s="82">
        <f>G55</f>
        <v>173317306</v>
      </c>
      <c r="H54" s="279">
        <f>G54-F54</f>
        <v>164297306</v>
      </c>
      <c r="I54" s="124" t="s">
        <v>73</v>
      </c>
      <c r="J54" s="67">
        <f>G54-F54</f>
        <v>164297306</v>
      </c>
      <c r="K54" s="36"/>
    </row>
    <row r="55" spans="2:13" s="1" customFormat="1" ht="54" customHeight="1" thickBot="1">
      <c r="B55" s="378"/>
      <c r="C55" s="378"/>
      <c r="D55" s="96" t="s">
        <v>22</v>
      </c>
      <c r="E55" s="93">
        <v>3000000</v>
      </c>
      <c r="F55" s="93">
        <f>4420000+4500000+100000</f>
        <v>9020000</v>
      </c>
      <c r="G55" s="93">
        <f>3000000+52000000+23000000+95317306</f>
        <v>173317306</v>
      </c>
      <c r="H55" s="282">
        <f>G55-F55</f>
        <v>164297306</v>
      </c>
      <c r="I55" s="94" t="s">
        <v>184</v>
      </c>
      <c r="J55" s="68"/>
      <c r="K55" s="36">
        <f>5000000+38000000+500000+500000</f>
        <v>44000000</v>
      </c>
      <c r="M55" s="93">
        <f>3000000+52000000+23000000+98417276</f>
        <v>176417276</v>
      </c>
    </row>
    <row r="56" spans="2:11" s="6" customFormat="1" ht="34.5" customHeight="1" thickBot="1">
      <c r="B56" s="362" t="s">
        <v>89</v>
      </c>
      <c r="C56" s="362" t="s">
        <v>89</v>
      </c>
      <c r="D56" s="165" t="s">
        <v>11</v>
      </c>
      <c r="E56" s="7">
        <f>SUM(E57:E65)</f>
        <v>19085000</v>
      </c>
      <c r="F56" s="82">
        <f>SUM(F57:F65)</f>
        <v>20200560</v>
      </c>
      <c r="G56" s="82">
        <f>SUM(G57:G65)</f>
        <v>24560000</v>
      </c>
      <c r="H56" s="279">
        <f aca="true" t="shared" si="2" ref="H56:H68">G56-F56</f>
        <v>4359440</v>
      </c>
      <c r="I56" s="124"/>
      <c r="J56" s="67">
        <f>G56-F56</f>
        <v>4359440</v>
      </c>
      <c r="K56" s="43"/>
    </row>
    <row r="57" spans="2:11" s="6" customFormat="1" ht="51.75" customHeight="1">
      <c r="B57" s="363"/>
      <c r="C57" s="363"/>
      <c r="D57" s="210" t="s">
        <v>23</v>
      </c>
      <c r="E57" s="3">
        <f>10400000+780000</f>
        <v>11180000</v>
      </c>
      <c r="F57" s="3">
        <f>7541430+208580</f>
        <v>7750010</v>
      </c>
      <c r="G57" s="3">
        <v>8160000</v>
      </c>
      <c r="H57" s="281">
        <f aca="true" t="shared" si="3" ref="H57:H62">G57-F57</f>
        <v>409990</v>
      </c>
      <c r="I57" s="211" t="s">
        <v>176</v>
      </c>
      <c r="J57" s="68">
        <f>G57-F57</f>
        <v>409990</v>
      </c>
      <c r="K57" s="43"/>
    </row>
    <row r="58" spans="2:11" s="6" customFormat="1" ht="41.25" customHeight="1">
      <c r="B58" s="363"/>
      <c r="C58" s="363"/>
      <c r="D58" s="30" t="s">
        <v>45</v>
      </c>
      <c r="E58" s="2"/>
      <c r="F58" s="2">
        <f>2000000</f>
        <v>2000000</v>
      </c>
      <c r="G58" s="2">
        <v>2000000</v>
      </c>
      <c r="H58" s="304">
        <f t="shared" si="3"/>
        <v>0</v>
      </c>
      <c r="I58" s="29" t="s">
        <v>107</v>
      </c>
      <c r="J58" s="68">
        <f aca="true" t="shared" si="4" ref="J58:J65">G58-F58</f>
        <v>0</v>
      </c>
      <c r="K58" s="43"/>
    </row>
    <row r="59" spans="2:11" s="6" customFormat="1" ht="41.25" customHeight="1">
      <c r="B59" s="363"/>
      <c r="C59" s="363"/>
      <c r="D59" s="40" t="s">
        <v>80</v>
      </c>
      <c r="E59" s="4"/>
      <c r="F59" s="4">
        <f>78000</f>
        <v>78000</v>
      </c>
      <c r="G59" s="4">
        <v>1000000</v>
      </c>
      <c r="H59" s="281">
        <f t="shared" si="3"/>
        <v>922000</v>
      </c>
      <c r="I59" s="23" t="s">
        <v>161</v>
      </c>
      <c r="J59" s="68">
        <f t="shared" si="4"/>
        <v>922000</v>
      </c>
      <c r="K59" s="43"/>
    </row>
    <row r="60" spans="2:11" s="6" customFormat="1" ht="72" customHeight="1">
      <c r="B60" s="363"/>
      <c r="C60" s="363"/>
      <c r="D60" s="40" t="s">
        <v>24</v>
      </c>
      <c r="E60" s="4">
        <f>2040000+510000</f>
        <v>2550000</v>
      </c>
      <c r="F60" s="4">
        <f>2500000+2500000</f>
        <v>5000000</v>
      </c>
      <c r="G60" s="4">
        <v>6000000</v>
      </c>
      <c r="H60" s="281">
        <f t="shared" si="3"/>
        <v>1000000</v>
      </c>
      <c r="I60" s="23" t="s">
        <v>178</v>
      </c>
      <c r="J60" s="68">
        <f t="shared" si="4"/>
        <v>1000000</v>
      </c>
      <c r="K60" s="43"/>
    </row>
    <row r="61" spans="2:11" s="6" customFormat="1" ht="40.5" customHeight="1">
      <c r="B61" s="363"/>
      <c r="C61" s="363"/>
      <c r="D61" s="30" t="s">
        <v>25</v>
      </c>
      <c r="E61" s="2">
        <f>2125000+850000</f>
        <v>2975000</v>
      </c>
      <c r="F61" s="253">
        <v>0</v>
      </c>
      <c r="G61" s="2">
        <v>2000000</v>
      </c>
      <c r="H61" s="281">
        <f t="shared" si="3"/>
        <v>2000000</v>
      </c>
      <c r="I61" s="29" t="s">
        <v>118</v>
      </c>
      <c r="J61" s="68">
        <f t="shared" si="4"/>
        <v>2000000</v>
      </c>
      <c r="K61" s="43"/>
    </row>
    <row r="62" spans="2:11" s="6" customFormat="1" ht="60" customHeight="1">
      <c r="B62" s="363"/>
      <c r="C62" s="363"/>
      <c r="D62" s="47" t="s">
        <v>95</v>
      </c>
      <c r="E62" s="4">
        <f>1500000+500000</f>
        <v>2000000</v>
      </c>
      <c r="F62" s="4">
        <f>1100000+200000</f>
        <v>1300000</v>
      </c>
      <c r="G62" s="4">
        <v>2000000</v>
      </c>
      <c r="H62" s="281">
        <f t="shared" si="3"/>
        <v>700000</v>
      </c>
      <c r="I62" s="23" t="s">
        <v>119</v>
      </c>
      <c r="J62" s="68">
        <f t="shared" si="4"/>
        <v>700000</v>
      </c>
      <c r="K62" s="43"/>
    </row>
    <row r="63" spans="2:11" s="6" customFormat="1" ht="67.5" customHeight="1">
      <c r="B63" s="363"/>
      <c r="C63" s="363"/>
      <c r="D63" s="320" t="s">
        <v>26</v>
      </c>
      <c r="E63" s="291">
        <f>180000+200000</f>
        <v>380000</v>
      </c>
      <c r="F63" s="291">
        <f>118700+998820+2450000+135030</f>
        <v>3702550</v>
      </c>
      <c r="G63" s="291">
        <f>2000000+500000</f>
        <v>2500000</v>
      </c>
      <c r="H63" s="321">
        <f t="shared" si="2"/>
        <v>-1202550</v>
      </c>
      <c r="I63" s="322" t="s">
        <v>177</v>
      </c>
      <c r="J63" s="68">
        <f t="shared" si="4"/>
        <v>-1202550</v>
      </c>
      <c r="K63" s="43"/>
    </row>
    <row r="64" spans="2:11" s="6" customFormat="1" ht="45" customHeight="1">
      <c r="B64" s="363"/>
      <c r="C64" s="363"/>
      <c r="D64" s="30" t="s">
        <v>43</v>
      </c>
      <c r="E64" s="323">
        <v>0</v>
      </c>
      <c r="F64" s="2">
        <f>370000</f>
        <v>370000</v>
      </c>
      <c r="G64" s="2">
        <v>600000</v>
      </c>
      <c r="H64" s="281">
        <f t="shared" si="2"/>
        <v>230000</v>
      </c>
      <c r="I64" s="29" t="s">
        <v>120</v>
      </c>
      <c r="J64" s="68">
        <f t="shared" si="4"/>
        <v>230000</v>
      </c>
      <c r="K64" s="43">
        <f>2400000+2000000+100000</f>
        <v>4500000</v>
      </c>
    </row>
    <row r="65" spans="2:11" s="6" customFormat="1" ht="44.25" customHeight="1" thickBot="1">
      <c r="B65" s="364"/>
      <c r="C65" s="364"/>
      <c r="D65" s="42" t="s">
        <v>27</v>
      </c>
      <c r="E65" s="45">
        <v>0</v>
      </c>
      <c r="F65" s="254">
        <v>0</v>
      </c>
      <c r="G65" s="168">
        <v>300000</v>
      </c>
      <c r="H65" s="282">
        <f t="shared" si="2"/>
        <v>300000</v>
      </c>
      <c r="I65" s="99" t="s">
        <v>162</v>
      </c>
      <c r="J65" s="68">
        <f t="shared" si="4"/>
        <v>300000</v>
      </c>
      <c r="K65" s="43"/>
    </row>
    <row r="66" spans="2:11" s="6" customFormat="1" ht="36.75" customHeight="1" thickBot="1">
      <c r="B66" s="376" t="s">
        <v>0</v>
      </c>
      <c r="C66" s="376" t="s">
        <v>0</v>
      </c>
      <c r="D66" s="18" t="s">
        <v>11</v>
      </c>
      <c r="E66" s="70">
        <f>SUM(E67:E67)</f>
        <v>4680000</v>
      </c>
      <c r="F66" s="204">
        <f>F67</f>
        <v>2425972</v>
      </c>
      <c r="G66" s="204">
        <f>G67</f>
        <v>2500000</v>
      </c>
      <c r="H66" s="330">
        <f t="shared" si="2"/>
        <v>74028</v>
      </c>
      <c r="I66" s="41"/>
      <c r="J66" s="67">
        <f>G66-F66</f>
        <v>74028</v>
      </c>
      <c r="K66" s="43"/>
    </row>
    <row r="67" spans="2:11" s="6" customFormat="1" ht="44.25" customHeight="1" thickBot="1">
      <c r="B67" s="378"/>
      <c r="C67" s="378"/>
      <c r="D67" s="28" t="s">
        <v>0</v>
      </c>
      <c r="E67" s="70">
        <v>4680000</v>
      </c>
      <c r="F67" s="69">
        <f>1972+2000000+187000+237000</f>
        <v>2425972</v>
      </c>
      <c r="G67" s="69">
        <f>2000000+500000</f>
        <v>2500000</v>
      </c>
      <c r="H67" s="330">
        <f t="shared" si="2"/>
        <v>74028</v>
      </c>
      <c r="I67" s="305" t="s">
        <v>155</v>
      </c>
      <c r="J67" s="68">
        <f>G67-F67</f>
        <v>74028</v>
      </c>
      <c r="K67" s="43"/>
    </row>
    <row r="68" spans="2:13" s="6" customFormat="1" ht="34.5" customHeight="1" thickBot="1">
      <c r="B68" s="376" t="s">
        <v>1</v>
      </c>
      <c r="C68" s="376" t="s">
        <v>1</v>
      </c>
      <c r="D68" s="18" t="s">
        <v>11</v>
      </c>
      <c r="E68" s="70">
        <f>SUM(E70)</f>
        <v>4465010</v>
      </c>
      <c r="F68" s="205">
        <f>F70</f>
        <v>364723076</v>
      </c>
      <c r="G68" s="205">
        <f>G69+G70</f>
        <v>200002300</v>
      </c>
      <c r="H68" s="327">
        <f t="shared" si="2"/>
        <v>-164720776</v>
      </c>
      <c r="I68" s="125"/>
      <c r="J68" s="68">
        <f>G68-F68</f>
        <v>-164720776</v>
      </c>
      <c r="K68" s="43"/>
      <c r="M68" s="6" t="s">
        <v>144</v>
      </c>
    </row>
    <row r="69" spans="2:15" s="6" customFormat="1" ht="34.5" customHeight="1">
      <c r="B69" s="377"/>
      <c r="C69" s="377"/>
      <c r="D69" s="34" t="s">
        <v>121</v>
      </c>
      <c r="E69" s="275"/>
      <c r="F69" s="312">
        <v>0</v>
      </c>
      <c r="G69" s="312">
        <v>2300</v>
      </c>
      <c r="H69" s="280">
        <f>G69-F69</f>
        <v>2300</v>
      </c>
      <c r="I69" s="276" t="s">
        <v>156</v>
      </c>
      <c r="J69" s="68">
        <f>G69-F69</f>
        <v>2300</v>
      </c>
      <c r="K69" s="43"/>
      <c r="M69" s="6">
        <v>790</v>
      </c>
      <c r="N69" s="6">
        <v>810</v>
      </c>
      <c r="O69" s="6">
        <f>SUM(M69:N69)</f>
        <v>1600</v>
      </c>
    </row>
    <row r="70" spans="2:15" s="6" customFormat="1" ht="32.25" customHeight="1" thickBot="1">
      <c r="B70" s="378"/>
      <c r="C70" s="378"/>
      <c r="D70" s="277" t="s">
        <v>1</v>
      </c>
      <c r="E70" s="45">
        <v>4465010</v>
      </c>
      <c r="F70" s="116">
        <f>228335556+3752998+114980+1154603+36499631+3011910+3011910+70000000+160147+18670773+790+378+9370+30</f>
        <v>364723076</v>
      </c>
      <c r="G70" s="116">
        <v>200000000</v>
      </c>
      <c r="H70" s="270">
        <f>G70-F70</f>
        <v>-164723076</v>
      </c>
      <c r="I70" s="98"/>
      <c r="J70" s="68">
        <f>G70-F70</f>
        <v>-164723076</v>
      </c>
      <c r="K70" s="43">
        <f>G70-F70</f>
        <v>-164723076</v>
      </c>
      <c r="M70" s="6">
        <v>378</v>
      </c>
      <c r="N70" s="6">
        <v>322</v>
      </c>
      <c r="O70" s="6">
        <f>SUM(M70:N70)</f>
        <v>700</v>
      </c>
    </row>
    <row r="71" spans="7:15" ht="13.5">
      <c r="G71" t="s">
        <v>74</v>
      </c>
      <c r="O71">
        <f>SUM(O69:O70)</f>
        <v>2300</v>
      </c>
    </row>
    <row r="74" spans="7:12" ht="13.5">
      <c r="G74" s="31">
        <f>'2023세입예산'!F6-'2023세출예산'!G7</f>
        <v>0</v>
      </c>
      <c r="L74" s="312"/>
    </row>
    <row r="75" ht="14.25" thickBot="1">
      <c r="L75" s="116"/>
    </row>
    <row r="76" spans="7:9" ht="13.5">
      <c r="G76" s="31"/>
      <c r="H76" s="31"/>
      <c r="I76" s="31"/>
    </row>
    <row r="80" ht="13.5">
      <c r="H80" s="8"/>
    </row>
    <row r="81" ht="13.5">
      <c r="H81" s="8"/>
    </row>
    <row r="82" ht="13.5">
      <c r="H82" s="8"/>
    </row>
    <row r="83" ht="13.5">
      <c r="H83" s="8"/>
    </row>
    <row r="84" ht="13.5">
      <c r="H84" s="8"/>
    </row>
    <row r="85" ht="13.5">
      <c r="H85" s="8"/>
    </row>
    <row r="86" spans="6:8" ht="13.5">
      <c r="F86" s="31"/>
      <c r="G86" s="31" t="e">
        <f>'2023세입예산'!#REF!</f>
        <v>#REF!</v>
      </c>
      <c r="H86" s="8"/>
    </row>
    <row r="87" spans="7:8" ht="13.5">
      <c r="G87" s="31">
        <f>G7</f>
        <v>1567070276</v>
      </c>
      <c r="H87" s="8"/>
    </row>
    <row r="88" spans="7:8" ht="13.5">
      <c r="G88" s="31" t="e">
        <f>G86-G87</f>
        <v>#REF!</v>
      </c>
      <c r="H88" s="8"/>
    </row>
    <row r="89" spans="7:8" ht="13.5">
      <c r="G89" s="35"/>
      <c r="H89" s="8"/>
    </row>
    <row r="90" spans="6:8" ht="13.5">
      <c r="F90" s="31"/>
      <c r="G90" s="31"/>
      <c r="H90" s="8"/>
    </row>
    <row r="91" ht="13.5">
      <c r="H91" s="8">
        <v>0</v>
      </c>
    </row>
    <row r="92" ht="13.5">
      <c r="H92" s="8"/>
    </row>
    <row r="93" ht="13.5">
      <c r="H93" s="8"/>
    </row>
    <row r="94" spans="6:8" ht="13.5">
      <c r="F94" s="31" t="e">
        <f>F7-'2023세입예산'!#REF!</f>
        <v>#REF!</v>
      </c>
      <c r="H94" s="8"/>
    </row>
    <row r="95" ht="13.5">
      <c r="H95" s="8"/>
    </row>
    <row r="96" ht="13.5">
      <c r="H96" s="8"/>
    </row>
    <row r="97" ht="13.5">
      <c r="H97" s="8"/>
    </row>
  </sheetData>
  <sheetProtection/>
  <mergeCells count="34">
    <mergeCell ref="H5:H6"/>
    <mergeCell ref="F42:F43"/>
    <mergeCell ref="G42:G43"/>
    <mergeCell ref="H42:H43"/>
    <mergeCell ref="H25:H26"/>
    <mergeCell ref="F25:F26"/>
    <mergeCell ref="G25:G26"/>
    <mergeCell ref="I5:I6"/>
    <mergeCell ref="D27:D28"/>
    <mergeCell ref="E5:E6"/>
    <mergeCell ref="G5:G6"/>
    <mergeCell ref="F5:F6"/>
    <mergeCell ref="D44:D45"/>
    <mergeCell ref="F44:F45"/>
    <mergeCell ref="G44:G45"/>
    <mergeCell ref="H44:H45"/>
    <mergeCell ref="D25:D26"/>
    <mergeCell ref="B68:B70"/>
    <mergeCell ref="C68:C70"/>
    <mergeCell ref="B54:B55"/>
    <mergeCell ref="C54:C55"/>
    <mergeCell ref="C40:C53"/>
    <mergeCell ref="B66:B67"/>
    <mergeCell ref="C66:C67"/>
    <mergeCell ref="B56:B65"/>
    <mergeCell ref="C56:C65"/>
    <mergeCell ref="B8:B19"/>
    <mergeCell ref="D20:D24"/>
    <mergeCell ref="B20:B39"/>
    <mergeCell ref="C36:C39"/>
    <mergeCell ref="B40:B53"/>
    <mergeCell ref="D42:D43"/>
    <mergeCell ref="C20:C35"/>
    <mergeCell ref="C8:C19"/>
  </mergeCells>
  <printOptions/>
  <pageMargins left="0.31496062992125984" right="0" top="0.3937007874015748" bottom="0.3937007874015748" header="0" footer="0.31496062992125984"/>
  <pageSetup horizontalDpi="600" verticalDpi="600" orientation="portrait" pageOrder="overThenDown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성안가정도우미파견센타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송문빈</dc:creator>
  <cp:keywords/>
  <dc:description/>
  <cp:lastModifiedBy>User</cp:lastModifiedBy>
  <cp:lastPrinted>2022-12-16T01:35:03Z</cp:lastPrinted>
  <dcterms:created xsi:type="dcterms:W3CDTF">2007-04-06T04:23:55Z</dcterms:created>
  <dcterms:modified xsi:type="dcterms:W3CDTF">2023-01-10T08:02:03Z</dcterms:modified>
  <cp:category/>
  <cp:version/>
  <cp:contentType/>
  <cp:contentStatus/>
</cp:coreProperties>
</file>